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E:\MŠMT\PROJEKT SPOLEČNÝCH ČINNOSTÍ\04_STRATIN+\ZÁVĚREČNÁ ZPRÁVA\"/>
    </mc:Choice>
  </mc:AlternateContent>
  <xr:revisionPtr revIDLastSave="0" documentId="8_{553591BF-4470-4BE6-8D2F-4CD8E420A42D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2021." sheetId="3" r:id="rId1"/>
    <sheet name="2022." sheetId="7" r:id="rId2"/>
    <sheet name="2023." sheetId="10" r:id="rId3"/>
    <sheet name="2024." sheetId="11" r:id="rId4"/>
    <sheet name="SUM." sheetId="12" r:id="rId5"/>
    <sheet name="2022" sheetId="2" state="hidden" r:id="rId6"/>
    <sheet name="2023" sheetId="1" state="hidden" r:id="rId7"/>
    <sheet name="2024" sheetId="5" state="hidden" r:id="rId8"/>
    <sheet name="SUM" sheetId="6" state="hidden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3" l="1"/>
  <c r="N17" i="12"/>
  <c r="N16" i="12"/>
  <c r="N3" i="12"/>
  <c r="N5" i="12"/>
  <c r="N4" i="12"/>
  <c r="N12" i="12"/>
  <c r="N9" i="12"/>
  <c r="N8" i="12"/>
  <c r="N7" i="12"/>
  <c r="O12" i="12"/>
  <c r="N9" i="11"/>
  <c r="N12" i="11"/>
  <c r="N3" i="11"/>
  <c r="O16" i="11"/>
  <c r="O17" i="11"/>
  <c r="O15" i="11"/>
  <c r="N16" i="11"/>
  <c r="N17" i="11"/>
  <c r="N15" i="11"/>
  <c r="O14" i="11"/>
  <c r="N14" i="11"/>
  <c r="E24" i="11"/>
  <c r="F12" i="11"/>
  <c r="E12" i="11"/>
  <c r="E14" i="11"/>
  <c r="E19" i="11"/>
  <c r="N21" i="3" l="1"/>
  <c r="K25" i="7" l="1"/>
  <c r="H22" i="7"/>
  <c r="E25" i="7"/>
  <c r="A22" i="7"/>
  <c r="N21" i="7" s="1"/>
  <c r="B21" i="10" l="1"/>
  <c r="N21" i="10" s="1"/>
  <c r="N22" i="11"/>
  <c r="H17" i="12" l="1"/>
  <c r="H16" i="12"/>
  <c r="H15" i="12"/>
  <c r="K17" i="12"/>
  <c r="K16" i="12"/>
  <c r="K15" i="12"/>
  <c r="E16" i="12"/>
  <c r="E15" i="12"/>
  <c r="B16" i="12"/>
  <c r="B17" i="12"/>
  <c r="B15" i="12"/>
  <c r="H19" i="3"/>
  <c r="E19" i="3"/>
  <c r="F9" i="11" l="1"/>
  <c r="F7" i="11"/>
  <c r="F3" i="11"/>
  <c r="F9" i="10"/>
  <c r="F7" i="10"/>
  <c r="F3" i="10"/>
  <c r="C3" i="11"/>
  <c r="C9" i="7"/>
  <c r="C9" i="11"/>
  <c r="O9" i="11" s="1"/>
  <c r="C7" i="11"/>
  <c r="C5" i="11"/>
  <c r="C9" i="10"/>
  <c r="C7" i="10"/>
  <c r="C5" i="10"/>
  <c r="D5" i="10" s="1"/>
  <c r="C3" i="10"/>
  <c r="C3" i="12" s="1"/>
  <c r="L9" i="10"/>
  <c r="L7" i="10"/>
  <c r="L9" i="7"/>
  <c r="L7" i="7"/>
  <c r="M7" i="7" s="1"/>
  <c r="G9" i="10"/>
  <c r="O7" i="10"/>
  <c r="F9" i="7"/>
  <c r="F7" i="7"/>
  <c r="F3" i="7"/>
  <c r="G3" i="7" s="1"/>
  <c r="M9" i="7"/>
  <c r="L9" i="3"/>
  <c r="M9" i="3" s="1"/>
  <c r="L7" i="3"/>
  <c r="M8" i="7"/>
  <c r="F9" i="12"/>
  <c r="G8" i="11"/>
  <c r="G9" i="11"/>
  <c r="G7" i="11"/>
  <c r="G5" i="11"/>
  <c r="G4" i="11"/>
  <c r="G3" i="11"/>
  <c r="G8" i="10"/>
  <c r="G7" i="10"/>
  <c r="G5" i="10"/>
  <c r="G4" i="10" s="1"/>
  <c r="G8" i="7"/>
  <c r="G9" i="7"/>
  <c r="G7" i="7"/>
  <c r="G6" i="7" s="1"/>
  <c r="G5" i="7"/>
  <c r="G9" i="3"/>
  <c r="G8" i="3"/>
  <c r="G7" i="3"/>
  <c r="G6" i="3" s="1"/>
  <c r="G5" i="3"/>
  <c r="G4" i="3" s="1"/>
  <c r="L3" i="12"/>
  <c r="L5" i="12"/>
  <c r="L4" i="12" s="1"/>
  <c r="L8" i="12"/>
  <c r="K9" i="12"/>
  <c r="K8" i="12"/>
  <c r="K7" i="12"/>
  <c r="K5" i="12"/>
  <c r="K4" i="12" s="1"/>
  <c r="K3" i="12"/>
  <c r="I5" i="12"/>
  <c r="I3" i="12"/>
  <c r="I7" i="12"/>
  <c r="I8" i="12"/>
  <c r="I6" i="12" s="1"/>
  <c r="I9" i="12"/>
  <c r="H9" i="12"/>
  <c r="H8" i="12"/>
  <c r="J8" i="12" s="1"/>
  <c r="H7" i="12"/>
  <c r="H5" i="12"/>
  <c r="H4" i="12"/>
  <c r="H3" i="12"/>
  <c r="E3" i="12"/>
  <c r="F8" i="12"/>
  <c r="F5" i="12"/>
  <c r="F4" i="12" s="1"/>
  <c r="E9" i="12"/>
  <c r="E8" i="12"/>
  <c r="E7" i="12"/>
  <c r="E6" i="12" s="1"/>
  <c r="E5" i="12"/>
  <c r="C8" i="12"/>
  <c r="O8" i="12" s="1"/>
  <c r="B9" i="12"/>
  <c r="B8" i="12"/>
  <c r="B7" i="12"/>
  <c r="B5" i="12"/>
  <c r="B3" i="12"/>
  <c r="K19" i="12"/>
  <c r="H19" i="12"/>
  <c r="E19" i="12"/>
  <c r="D17" i="12"/>
  <c r="O16" i="12"/>
  <c r="D16" i="12"/>
  <c r="O15" i="12"/>
  <c r="N15" i="12"/>
  <c r="D15" i="12"/>
  <c r="D13" i="12"/>
  <c r="E4" i="12"/>
  <c r="K19" i="11"/>
  <c r="H19" i="11"/>
  <c r="D17" i="11"/>
  <c r="D16" i="11"/>
  <c r="D15" i="11"/>
  <c r="D13" i="11"/>
  <c r="M9" i="11"/>
  <c r="J9" i="11"/>
  <c r="D9" i="11"/>
  <c r="O8" i="11"/>
  <c r="N8" i="11"/>
  <c r="M8" i="11"/>
  <c r="J8" i="11"/>
  <c r="D8" i="11"/>
  <c r="N7" i="11"/>
  <c r="M7" i="11"/>
  <c r="M6" i="11" s="1"/>
  <c r="J7" i="11"/>
  <c r="J6" i="11" s="1"/>
  <c r="D7" i="11"/>
  <c r="L6" i="11"/>
  <c r="L11" i="11" s="1"/>
  <c r="K6" i="11"/>
  <c r="K11" i="11" s="1"/>
  <c r="I6" i="11"/>
  <c r="H6" i="11"/>
  <c r="H11" i="11" s="1"/>
  <c r="F6" i="11"/>
  <c r="F11" i="11" s="1"/>
  <c r="E6" i="11"/>
  <c r="E11" i="11" s="1"/>
  <c r="C6" i="11"/>
  <c r="B6" i="11"/>
  <c r="B11" i="11" s="1"/>
  <c r="N5" i="11"/>
  <c r="N4" i="11" s="1"/>
  <c r="M5" i="11"/>
  <c r="M4" i="11" s="1"/>
  <c r="J5" i="11"/>
  <c r="J4" i="11" s="1"/>
  <c r="D5" i="11"/>
  <c r="L4" i="11"/>
  <c r="K4" i="11"/>
  <c r="K12" i="11" s="1"/>
  <c r="I4" i="11"/>
  <c r="I12" i="11" s="1"/>
  <c r="H4" i="11"/>
  <c r="H12" i="11" s="1"/>
  <c r="F4" i="11"/>
  <c r="E4" i="11"/>
  <c r="B4" i="11"/>
  <c r="O3" i="11"/>
  <c r="M3" i="11"/>
  <c r="J3" i="11"/>
  <c r="K19" i="10"/>
  <c r="H19" i="10"/>
  <c r="E19" i="10"/>
  <c r="D17" i="10"/>
  <c r="O16" i="10"/>
  <c r="N16" i="10"/>
  <c r="D16" i="10"/>
  <c r="O15" i="10"/>
  <c r="N15" i="10"/>
  <c r="D15" i="10"/>
  <c r="D13" i="10"/>
  <c r="N9" i="10"/>
  <c r="M9" i="10"/>
  <c r="J9" i="10"/>
  <c r="D9" i="10"/>
  <c r="O8" i="10"/>
  <c r="N8" i="10"/>
  <c r="M8" i="10"/>
  <c r="J8" i="10"/>
  <c r="D8" i="10"/>
  <c r="N7" i="10"/>
  <c r="M7" i="10"/>
  <c r="M6" i="10" s="1"/>
  <c r="J7" i="10"/>
  <c r="J6" i="10" s="1"/>
  <c r="D7" i="10"/>
  <c r="L6" i="10"/>
  <c r="K6" i="10"/>
  <c r="K11" i="10" s="1"/>
  <c r="I6" i="10"/>
  <c r="I11" i="10" s="1"/>
  <c r="H6" i="10"/>
  <c r="H11" i="10" s="1"/>
  <c r="F6" i="10"/>
  <c r="E6" i="10"/>
  <c r="E11" i="10" s="1"/>
  <c r="C6" i="10"/>
  <c r="B6" i="10"/>
  <c r="D6" i="10" s="1"/>
  <c r="O5" i="10"/>
  <c r="O4" i="10" s="1"/>
  <c r="N5" i="10"/>
  <c r="N4" i="10" s="1"/>
  <c r="M5" i="10"/>
  <c r="M4" i="10" s="1"/>
  <c r="J5" i="10"/>
  <c r="J4" i="10" s="1"/>
  <c r="L4" i="10"/>
  <c r="K4" i="10"/>
  <c r="K12" i="10" s="1"/>
  <c r="I4" i="10"/>
  <c r="H4" i="10"/>
  <c r="H12" i="10" s="1"/>
  <c r="F4" i="10"/>
  <c r="E4" i="10"/>
  <c r="E12" i="10" s="1"/>
  <c r="C4" i="10"/>
  <c r="C12" i="10" s="1"/>
  <c r="B4" i="10"/>
  <c r="B12" i="10" s="1"/>
  <c r="N3" i="10"/>
  <c r="M3" i="10"/>
  <c r="J3" i="10"/>
  <c r="K19" i="7"/>
  <c r="H19" i="7"/>
  <c r="E19" i="7"/>
  <c r="D17" i="7"/>
  <c r="O16" i="7"/>
  <c r="N16" i="7"/>
  <c r="D16" i="7"/>
  <c r="O15" i="7"/>
  <c r="N15" i="7"/>
  <c r="D15" i="7"/>
  <c r="D13" i="7"/>
  <c r="N9" i="7"/>
  <c r="J9" i="7"/>
  <c r="D9" i="7"/>
  <c r="O8" i="7"/>
  <c r="N8" i="7"/>
  <c r="J8" i="7"/>
  <c r="D8" i="7"/>
  <c r="O7" i="7"/>
  <c r="O6" i="7" s="1"/>
  <c r="N7" i="7"/>
  <c r="N6" i="7" s="1"/>
  <c r="J7" i="7"/>
  <c r="J6" i="7" s="1"/>
  <c r="D7" i="7"/>
  <c r="K6" i="7"/>
  <c r="K11" i="7" s="1"/>
  <c r="I6" i="7"/>
  <c r="H6" i="7"/>
  <c r="F6" i="7"/>
  <c r="F11" i="7" s="1"/>
  <c r="E6" i="7"/>
  <c r="E10" i="7" s="1"/>
  <c r="C6" i="7"/>
  <c r="C11" i="7" s="1"/>
  <c r="B6" i="7"/>
  <c r="B11" i="7" s="1"/>
  <c r="O5" i="7"/>
  <c r="O4" i="7" s="1"/>
  <c r="N5" i="7"/>
  <c r="N4" i="7" s="1"/>
  <c r="M5" i="7"/>
  <c r="M4" i="7" s="1"/>
  <c r="J5" i="7"/>
  <c r="J4" i="7" s="1"/>
  <c r="D5" i="7"/>
  <c r="L4" i="7"/>
  <c r="K4" i="7"/>
  <c r="I4" i="7"/>
  <c r="I12" i="7" s="1"/>
  <c r="I14" i="7" s="1"/>
  <c r="H4" i="7"/>
  <c r="H12" i="7" s="1"/>
  <c r="G4" i="7"/>
  <c r="F4" i="7"/>
  <c r="E4" i="7"/>
  <c r="C4" i="7"/>
  <c r="B4" i="7"/>
  <c r="B12" i="7" s="1"/>
  <c r="O3" i="7"/>
  <c r="N3" i="7"/>
  <c r="M3" i="7"/>
  <c r="J3" i="7"/>
  <c r="D3" i="7"/>
  <c r="M3" i="3"/>
  <c r="J9" i="3"/>
  <c r="M8" i="3"/>
  <c r="M7" i="3"/>
  <c r="M6" i="3" s="1"/>
  <c r="L6" i="3"/>
  <c r="J8" i="3"/>
  <c r="J7" i="3"/>
  <c r="J6" i="3" s="1"/>
  <c r="I6" i="3"/>
  <c r="J5" i="3"/>
  <c r="M5" i="3"/>
  <c r="M4" i="3"/>
  <c r="L4" i="3"/>
  <c r="I4" i="3"/>
  <c r="I12" i="3" s="1"/>
  <c r="I14" i="3" s="1"/>
  <c r="J4" i="3"/>
  <c r="J3" i="3"/>
  <c r="J10" i="3" s="1"/>
  <c r="O16" i="3"/>
  <c r="N16" i="3"/>
  <c r="O15" i="3"/>
  <c r="N15" i="3"/>
  <c r="O9" i="3"/>
  <c r="N9" i="3"/>
  <c r="O7" i="3"/>
  <c r="O8" i="3"/>
  <c r="N8" i="3"/>
  <c r="N7" i="3"/>
  <c r="N6" i="3" s="1"/>
  <c r="O5" i="3"/>
  <c r="O4" i="3" s="1"/>
  <c r="N5" i="3"/>
  <c r="N4" i="3"/>
  <c r="O3" i="3"/>
  <c r="N3" i="3"/>
  <c r="F6" i="3"/>
  <c r="F10" i="3" s="1"/>
  <c r="G3" i="3"/>
  <c r="G10" i="3" s="1"/>
  <c r="C6" i="3"/>
  <c r="D5" i="3"/>
  <c r="D7" i="3"/>
  <c r="D8" i="3"/>
  <c r="D9" i="3"/>
  <c r="D13" i="3"/>
  <c r="D15" i="3"/>
  <c r="D16" i="3"/>
  <c r="D17" i="3"/>
  <c r="D3" i="3"/>
  <c r="F4" i="3"/>
  <c r="F12" i="3" s="1"/>
  <c r="C4" i="3"/>
  <c r="E6" i="3"/>
  <c r="C12" i="3" l="1"/>
  <c r="C14" i="3" s="1"/>
  <c r="F14" i="3"/>
  <c r="C11" i="3"/>
  <c r="C10" i="3"/>
  <c r="O6" i="3"/>
  <c r="I10" i="3"/>
  <c r="I11" i="3"/>
  <c r="L10" i="3"/>
  <c r="L11" i="3"/>
  <c r="J11" i="3"/>
  <c r="H10" i="7"/>
  <c r="H11" i="7"/>
  <c r="I11" i="7"/>
  <c r="I10" i="7"/>
  <c r="N19" i="7"/>
  <c r="J11" i="10"/>
  <c r="M11" i="10"/>
  <c r="N19" i="10"/>
  <c r="I14" i="11"/>
  <c r="H14" i="11"/>
  <c r="I11" i="11"/>
  <c r="I10" i="11"/>
  <c r="N19" i="11"/>
  <c r="J5" i="12"/>
  <c r="O6" i="10"/>
  <c r="L9" i="12"/>
  <c r="L11" i="10"/>
  <c r="O9" i="10"/>
  <c r="C9" i="12"/>
  <c r="C5" i="12"/>
  <c r="C7" i="12"/>
  <c r="O9" i="7"/>
  <c r="O3" i="10"/>
  <c r="F7" i="12"/>
  <c r="O7" i="11"/>
  <c r="O6" i="11" s="1"/>
  <c r="C6" i="12"/>
  <c r="I4" i="12"/>
  <c r="J7" i="12"/>
  <c r="K6" i="12"/>
  <c r="K11" i="12" s="1"/>
  <c r="D8" i="12"/>
  <c r="M5" i="12"/>
  <c r="G8" i="12"/>
  <c r="G5" i="12"/>
  <c r="G4" i="12" s="1"/>
  <c r="O5" i="12"/>
  <c r="N19" i="12"/>
  <c r="M9" i="12"/>
  <c r="E10" i="11"/>
  <c r="N6" i="10"/>
  <c r="N10" i="10" s="1"/>
  <c r="E10" i="10"/>
  <c r="E12" i="7"/>
  <c r="M3" i="12"/>
  <c r="J9" i="12"/>
  <c r="G9" i="12"/>
  <c r="E12" i="12"/>
  <c r="N6" i="11"/>
  <c r="N11" i="11" s="1"/>
  <c r="B12" i="11"/>
  <c r="N11" i="10"/>
  <c r="N12" i="10"/>
  <c r="D12" i="10"/>
  <c r="B10" i="7"/>
  <c r="D11" i="7"/>
  <c r="B6" i="12"/>
  <c r="B11" i="12" s="1"/>
  <c r="D3" i="12"/>
  <c r="G7" i="12"/>
  <c r="F6" i="12"/>
  <c r="F10" i="10"/>
  <c r="G3" i="10"/>
  <c r="C11" i="11"/>
  <c r="G6" i="10"/>
  <c r="G11" i="10" s="1"/>
  <c r="C4" i="11"/>
  <c r="O5" i="11"/>
  <c r="O4" i="11" s="1"/>
  <c r="D3" i="11"/>
  <c r="C12" i="11"/>
  <c r="C14" i="11" s="1"/>
  <c r="D7" i="12"/>
  <c r="D3" i="10"/>
  <c r="C10" i="10"/>
  <c r="C11" i="10"/>
  <c r="L10" i="10"/>
  <c r="L6" i="7"/>
  <c r="L11" i="7" s="1"/>
  <c r="L7" i="12"/>
  <c r="M7" i="12" s="1"/>
  <c r="F11" i="10"/>
  <c r="F12" i="10"/>
  <c r="F14" i="10"/>
  <c r="G12" i="7"/>
  <c r="G10" i="7"/>
  <c r="F10" i="7"/>
  <c r="F3" i="12"/>
  <c r="F12" i="7"/>
  <c r="F14" i="7" s="1"/>
  <c r="L12" i="3"/>
  <c r="L14" i="3" s="1"/>
  <c r="K22" i="3" s="1"/>
  <c r="M10" i="3"/>
  <c r="M10" i="11"/>
  <c r="L10" i="11"/>
  <c r="L12" i="11"/>
  <c r="O12" i="11"/>
  <c r="M11" i="11"/>
  <c r="L12" i="10"/>
  <c r="K12" i="7"/>
  <c r="M6" i="7"/>
  <c r="M10" i="7" s="1"/>
  <c r="M11" i="7"/>
  <c r="M8" i="12"/>
  <c r="L10" i="7"/>
  <c r="L12" i="7"/>
  <c r="L14" i="7" s="1"/>
  <c r="J12" i="11"/>
  <c r="I12" i="10"/>
  <c r="I14" i="10" s="1"/>
  <c r="I10" i="10"/>
  <c r="I12" i="12"/>
  <c r="I14" i="12" s="1"/>
  <c r="J3" i="12"/>
  <c r="O9" i="12"/>
  <c r="P9" i="12" s="1"/>
  <c r="G6" i="11"/>
  <c r="G10" i="11" s="1"/>
  <c r="F10" i="11"/>
  <c r="O12" i="10"/>
  <c r="N14" i="10" s="1"/>
  <c r="G11" i="7"/>
  <c r="C10" i="11"/>
  <c r="D6" i="11"/>
  <c r="C12" i="7"/>
  <c r="C14" i="7" s="1"/>
  <c r="C10" i="7"/>
  <c r="C4" i="12"/>
  <c r="D5" i="12"/>
  <c r="G11" i="3"/>
  <c r="M4" i="12"/>
  <c r="I10" i="12"/>
  <c r="I11" i="12"/>
  <c r="J6" i="12"/>
  <c r="H6" i="12"/>
  <c r="H12" i="12" s="1"/>
  <c r="J4" i="12"/>
  <c r="E10" i="12"/>
  <c r="E11" i="12"/>
  <c r="D9" i="12"/>
  <c r="P8" i="12"/>
  <c r="B10" i="12"/>
  <c r="B4" i="12"/>
  <c r="C10" i="12"/>
  <c r="C11" i="12"/>
  <c r="D11" i="11"/>
  <c r="O10" i="11"/>
  <c r="O11" i="11"/>
  <c r="J11" i="11"/>
  <c r="B10" i="11"/>
  <c r="H10" i="11"/>
  <c r="J10" i="11"/>
  <c r="M12" i="11"/>
  <c r="D4" i="11"/>
  <c r="K10" i="11"/>
  <c r="C14" i="10"/>
  <c r="J12" i="10"/>
  <c r="M10" i="10"/>
  <c r="O11" i="10"/>
  <c r="O10" i="10"/>
  <c r="B10" i="10"/>
  <c r="D10" i="10" s="1"/>
  <c r="H10" i="10"/>
  <c r="J10" i="10"/>
  <c r="B11" i="10"/>
  <c r="M12" i="10"/>
  <c r="D4" i="10"/>
  <c r="K10" i="10"/>
  <c r="M11" i="3"/>
  <c r="D6" i="7"/>
  <c r="O12" i="7"/>
  <c r="N14" i="7" s="1"/>
  <c r="O10" i="7"/>
  <c r="J11" i="7"/>
  <c r="J10" i="7"/>
  <c r="J12" i="7"/>
  <c r="N12" i="7"/>
  <c r="K10" i="7"/>
  <c r="D4" i="7"/>
  <c r="E11" i="7"/>
  <c r="N10" i="7"/>
  <c r="N11" i="7"/>
  <c r="O11" i="7"/>
  <c r="N12" i="3"/>
  <c r="J12" i="3"/>
  <c r="M12" i="3"/>
  <c r="O12" i="3"/>
  <c r="O11" i="3"/>
  <c r="O10" i="3"/>
  <c r="F11" i="3"/>
  <c r="L17" i="5"/>
  <c r="L16" i="5"/>
  <c r="F6" i="5"/>
  <c r="I15" i="6"/>
  <c r="I16" i="6"/>
  <c r="I17" i="6"/>
  <c r="I14" i="6"/>
  <c r="I9" i="6"/>
  <c r="I7" i="6"/>
  <c r="I3" i="6"/>
  <c r="F15" i="6"/>
  <c r="F16" i="6"/>
  <c r="F17" i="6"/>
  <c r="F14" i="6"/>
  <c r="F9" i="6"/>
  <c r="F8" i="6"/>
  <c r="F3" i="6"/>
  <c r="L14" i="10" l="1"/>
  <c r="K14" i="10"/>
  <c r="L14" i="11"/>
  <c r="K14" i="11"/>
  <c r="G12" i="10"/>
  <c r="E22" i="10"/>
  <c r="O4" i="12"/>
  <c r="P5" i="12"/>
  <c r="P4" i="12" s="1"/>
  <c r="O14" i="3"/>
  <c r="D14" i="3"/>
  <c r="K12" i="12"/>
  <c r="F10" i="12"/>
  <c r="K10" i="12"/>
  <c r="G6" i="12"/>
  <c r="L6" i="12"/>
  <c r="L10" i="12" s="1"/>
  <c r="N10" i="11"/>
  <c r="G10" i="10"/>
  <c r="M6" i="12"/>
  <c r="M10" i="12" s="1"/>
  <c r="D6" i="12"/>
  <c r="B12" i="12"/>
  <c r="D10" i="7"/>
  <c r="N6" i="12"/>
  <c r="P12" i="12" s="1"/>
  <c r="G11" i="11"/>
  <c r="D12" i="11"/>
  <c r="D10" i="11"/>
  <c r="D11" i="10"/>
  <c r="O7" i="12"/>
  <c r="G3" i="12"/>
  <c r="F12" i="12"/>
  <c r="G12" i="12" s="1"/>
  <c r="O3" i="12"/>
  <c r="P3" i="12" s="1"/>
  <c r="F11" i="12"/>
  <c r="M12" i="7"/>
  <c r="J10" i="12"/>
  <c r="J12" i="12"/>
  <c r="J11" i="12"/>
  <c r="G12" i="11"/>
  <c r="E17" i="11" s="1"/>
  <c r="E17" i="12" s="1"/>
  <c r="F14" i="11"/>
  <c r="D12" i="7"/>
  <c r="D4" i="12"/>
  <c r="C12" i="12"/>
  <c r="H11" i="12"/>
  <c r="H10" i="12"/>
  <c r="D11" i="12"/>
  <c r="D10" i="12"/>
  <c r="D14" i="11"/>
  <c r="D14" i="10"/>
  <c r="O14" i="10"/>
  <c r="D14" i="7"/>
  <c r="O14" i="7"/>
  <c r="C15" i="6"/>
  <c r="L15" i="6" s="1"/>
  <c r="C16" i="6"/>
  <c r="L16" i="6" s="1"/>
  <c r="C17" i="6"/>
  <c r="C14" i="6"/>
  <c r="C9" i="6"/>
  <c r="C8" i="6"/>
  <c r="C7" i="6"/>
  <c r="C5" i="6"/>
  <c r="C4" i="6" s="1"/>
  <c r="C3" i="6"/>
  <c r="E3" i="6" s="1"/>
  <c r="B14" i="6"/>
  <c r="B20" i="6" s="1"/>
  <c r="B9" i="6"/>
  <c r="B8" i="6"/>
  <c r="B7" i="6"/>
  <c r="B5" i="6"/>
  <c r="B4" i="6" s="1"/>
  <c r="B3" i="6"/>
  <c r="I20" i="6"/>
  <c r="F20" i="6"/>
  <c r="I19" i="6"/>
  <c r="F19" i="6"/>
  <c r="B19" i="6"/>
  <c r="J12" i="6"/>
  <c r="G12" i="6"/>
  <c r="D12" i="6"/>
  <c r="G11" i="6"/>
  <c r="D11" i="6"/>
  <c r="D10" i="6"/>
  <c r="K9" i="6"/>
  <c r="H9" i="6"/>
  <c r="I6" i="6"/>
  <c r="I12" i="6" s="1"/>
  <c r="F6" i="6"/>
  <c r="I5" i="6"/>
  <c r="F4" i="6"/>
  <c r="K3" i="6"/>
  <c r="H3" i="6"/>
  <c r="I20" i="5"/>
  <c r="F20" i="5"/>
  <c r="C20" i="5"/>
  <c r="B20" i="5"/>
  <c r="I19" i="5"/>
  <c r="F19" i="5"/>
  <c r="C19" i="5"/>
  <c r="B19" i="5"/>
  <c r="L15" i="5"/>
  <c r="L14" i="5"/>
  <c r="J12" i="5"/>
  <c r="G12" i="5"/>
  <c r="D12" i="5"/>
  <c r="G11" i="5"/>
  <c r="D11" i="5"/>
  <c r="D10" i="5"/>
  <c r="L9" i="5"/>
  <c r="K9" i="5"/>
  <c r="H9" i="5"/>
  <c r="E9" i="5"/>
  <c r="L8" i="5"/>
  <c r="L7" i="5"/>
  <c r="I6" i="5"/>
  <c r="K6" i="5" s="1"/>
  <c r="F10" i="5"/>
  <c r="C6" i="5"/>
  <c r="C10" i="5" s="1"/>
  <c r="B6" i="5"/>
  <c r="L5" i="5"/>
  <c r="L4" i="5" s="1"/>
  <c r="F12" i="5"/>
  <c r="B12" i="5"/>
  <c r="L3" i="5"/>
  <c r="K3" i="5"/>
  <c r="H3" i="5"/>
  <c r="E3" i="5"/>
  <c r="O6" i="12" l="1"/>
  <c r="P7" i="12"/>
  <c r="P6" i="12" s="1"/>
  <c r="L11" i="12"/>
  <c r="L12" i="12"/>
  <c r="L14" i="12" s="1"/>
  <c r="G10" i="12"/>
  <c r="M12" i="12"/>
  <c r="M11" i="12"/>
  <c r="N11" i="12"/>
  <c r="N10" i="12"/>
  <c r="O11" i="12"/>
  <c r="O10" i="12"/>
  <c r="F14" i="12"/>
  <c r="G11" i="12"/>
  <c r="D12" i="12"/>
  <c r="C14" i="12"/>
  <c r="C19" i="6"/>
  <c r="C6" i="6"/>
  <c r="C12" i="6" s="1"/>
  <c r="B11" i="5"/>
  <c r="B10" i="5"/>
  <c r="F12" i="6"/>
  <c r="B6" i="6"/>
  <c r="B12" i="6" s="1"/>
  <c r="L9" i="6"/>
  <c r="L14" i="6"/>
  <c r="L20" i="6" s="1"/>
  <c r="L19" i="6"/>
  <c r="C20" i="6"/>
  <c r="E9" i="6"/>
  <c r="L7" i="6"/>
  <c r="L3" i="6"/>
  <c r="L8" i="6"/>
  <c r="L5" i="6"/>
  <c r="L4" i="6" s="1"/>
  <c r="L20" i="5"/>
  <c r="L19" i="5"/>
  <c r="C12" i="5"/>
  <c r="L6" i="5"/>
  <c r="L11" i="5"/>
  <c r="H6" i="6"/>
  <c r="H12" i="6" s="1"/>
  <c r="F11" i="6"/>
  <c r="F10" i="6"/>
  <c r="K6" i="6"/>
  <c r="K12" i="6" s="1"/>
  <c r="K12" i="5"/>
  <c r="L10" i="5"/>
  <c r="E6" i="5"/>
  <c r="E12" i="5" s="1"/>
  <c r="C11" i="5"/>
  <c r="I12" i="5"/>
  <c r="H6" i="5"/>
  <c r="H12" i="5" s="1"/>
  <c r="F11" i="5"/>
  <c r="L12" i="5"/>
  <c r="I19" i="1"/>
  <c r="I20" i="1"/>
  <c r="L16" i="1"/>
  <c r="L15" i="1"/>
  <c r="L14" i="1"/>
  <c r="L20" i="1" s="1"/>
  <c r="L9" i="1"/>
  <c r="L8" i="1"/>
  <c r="L7" i="1"/>
  <c r="L6" i="1"/>
  <c r="L3" i="1"/>
  <c r="L11" i="1"/>
  <c r="L10" i="1"/>
  <c r="B19" i="1"/>
  <c r="B20" i="1"/>
  <c r="B19" i="2"/>
  <c r="B21" i="2"/>
  <c r="F16" i="2"/>
  <c r="F15" i="2"/>
  <c r="F14" i="2"/>
  <c r="F21" i="2" s="1"/>
  <c r="F9" i="2"/>
  <c r="F8" i="2"/>
  <c r="F7" i="2"/>
  <c r="F5" i="2"/>
  <c r="F4" i="2"/>
  <c r="F3" i="2"/>
  <c r="E4" i="2"/>
  <c r="E6" i="2"/>
  <c r="E12" i="2"/>
  <c r="E19" i="2"/>
  <c r="E21" i="2"/>
  <c r="C21" i="2"/>
  <c r="C19" i="2"/>
  <c r="K19" i="3"/>
  <c r="K4" i="3"/>
  <c r="K6" i="3"/>
  <c r="J12" i="1"/>
  <c r="N14" i="12" l="1"/>
  <c r="P10" i="12"/>
  <c r="P11" i="12"/>
  <c r="O14" i="12"/>
  <c r="K11" i="3"/>
  <c r="K10" i="3"/>
  <c r="D14" i="12"/>
  <c r="C10" i="6"/>
  <c r="E6" i="6"/>
  <c r="E12" i="6" s="1"/>
  <c r="C11" i="6"/>
  <c r="B11" i="6"/>
  <c r="B10" i="6"/>
  <c r="K12" i="3"/>
  <c r="F19" i="2"/>
  <c r="L19" i="1"/>
  <c r="L6" i="6"/>
  <c r="L11" i="6" s="1"/>
  <c r="F6" i="2"/>
  <c r="F12" i="2"/>
  <c r="I5" i="1"/>
  <c r="L5" i="1" s="1"/>
  <c r="L4" i="1" s="1"/>
  <c r="L12" i="1" s="1"/>
  <c r="I6" i="1"/>
  <c r="K9" i="1"/>
  <c r="K3" i="1"/>
  <c r="L10" i="6" l="1"/>
  <c r="L12" i="6"/>
  <c r="K6" i="1"/>
  <c r="K12" i="1" s="1"/>
  <c r="I12" i="1"/>
  <c r="G11" i="1"/>
  <c r="F19" i="1" l="1"/>
  <c r="C19" i="1"/>
  <c r="F20" i="1"/>
  <c r="C20" i="1"/>
  <c r="D21" i="2"/>
  <c r="H6" i="3"/>
  <c r="E10" i="3"/>
  <c r="B6" i="3"/>
  <c r="H4" i="3"/>
  <c r="E4" i="3"/>
  <c r="E12" i="3" s="1"/>
  <c r="G12" i="3" s="1"/>
  <c r="B4" i="3"/>
  <c r="D4" i="3" s="1"/>
  <c r="D19" i="2"/>
  <c r="D6" i="2"/>
  <c r="D10" i="2" s="1"/>
  <c r="C6" i="2"/>
  <c r="C11" i="2" s="1"/>
  <c r="B6" i="2"/>
  <c r="B10" i="2" s="1"/>
  <c r="D4" i="2"/>
  <c r="C4" i="2"/>
  <c r="B4" i="2"/>
  <c r="H9" i="1"/>
  <c r="H3" i="1"/>
  <c r="E9" i="1"/>
  <c r="E3" i="1"/>
  <c r="G12" i="1"/>
  <c r="D11" i="1"/>
  <c r="D10" i="1"/>
  <c r="D12" i="1"/>
  <c r="H10" i="3" l="1"/>
  <c r="H11" i="3"/>
  <c r="B11" i="3"/>
  <c r="D6" i="3"/>
  <c r="D11" i="3" s="1"/>
  <c r="N19" i="3"/>
  <c r="H12" i="3"/>
  <c r="N10" i="3"/>
  <c r="C10" i="2"/>
  <c r="E11" i="3"/>
  <c r="B12" i="3"/>
  <c r="D12" i="3" s="1"/>
  <c r="B10" i="3"/>
  <c r="D10" i="3" s="1"/>
  <c r="F11" i="2"/>
  <c r="D11" i="2"/>
  <c r="D12" i="2"/>
  <c r="C12" i="2"/>
  <c r="B12" i="2"/>
  <c r="F10" i="2"/>
  <c r="B11" i="2"/>
  <c r="C4" i="1"/>
  <c r="F4" i="1"/>
  <c r="C6" i="1"/>
  <c r="E6" i="1" s="1"/>
  <c r="E12" i="1" s="1"/>
  <c r="F6" i="1"/>
  <c r="H6" i="1" s="1"/>
  <c r="H12" i="1" s="1"/>
  <c r="B6" i="1"/>
  <c r="B4" i="1"/>
  <c r="C12" i="1" l="1"/>
  <c r="N11" i="3"/>
  <c r="B12" i="1"/>
  <c r="C10" i="1"/>
  <c r="C11" i="1"/>
  <c r="B11" i="1"/>
  <c r="B10" i="1"/>
  <c r="F10" i="1"/>
  <c r="F11" i="1"/>
  <c r="F12" i="1"/>
</calcChain>
</file>

<file path=xl/sharedStrings.xml><?xml version="1.0" encoding="utf-8"?>
<sst xmlns="http://schemas.openxmlformats.org/spreadsheetml/2006/main" count="261" uniqueCount="58">
  <si>
    <t>STARTIN+ 2021</t>
  </si>
  <si>
    <t>Položky uznaných nákladů Náklady hrazené z podpory MŠMT v Kč</t>
  </si>
  <si>
    <t>TC</t>
  </si>
  <si>
    <t>Plán</t>
  </si>
  <si>
    <t>Rozdíl</t>
  </si>
  <si>
    <t>SÚ</t>
  </si>
  <si>
    <t>SSČ</t>
  </si>
  <si>
    <t>NVF</t>
  </si>
  <si>
    <r>
      <t xml:space="preserve">Plán </t>
    </r>
    <r>
      <rPr>
        <b/>
        <sz val="11"/>
        <color theme="5" tint="-0.249977111117893"/>
        <rFont val="Calibri"/>
        <family val="2"/>
        <charset val="238"/>
        <scheme val="minor"/>
      </rPr>
      <t>snížení dle dč1 do roku 2022</t>
    </r>
  </si>
  <si>
    <t>SUM skutečnost</t>
  </si>
  <si>
    <t>1. Osobní náklady nebo výdaje na zaměstnance, kteří se podílejí na řešení projektu</t>
  </si>
  <si>
    <t>2. Náklady nebo výdaje na pořízení, provoz a údržbu hmotného majetku a nehmotného majetku používaného k řešení projektu.</t>
  </si>
  <si>
    <t>2 a) z toho investice</t>
  </si>
  <si>
    <t>3. Provozní náklady nebo výdaje, náklady nebo výdaje na služby využívané v přímé souvislosti s řešením projektu [součet 3 a) + 3 b)].</t>
  </si>
  <si>
    <t>Z toho3: 3 a) ostatní běžné výdaje a služby</t>
  </si>
  <si>
    <t>3 b) cestovné</t>
  </si>
  <si>
    <t xml:space="preserve">4. Doplňkové (režijní) náklady nebo výdaje vzniklé v přímé souvislosti s řešením projektu (nájem kanceláře, vodné, stočné, paliva a energie, úklid, údržba, ostraha, telefony, IT služby apod.) </t>
  </si>
  <si>
    <t>vypočtené režie</t>
  </si>
  <si>
    <t>% režií</t>
  </si>
  <si>
    <t xml:space="preserve">5. Celkem </t>
  </si>
  <si>
    <t>Výše poskytnuté podpory MŠMT pro rok 2021 v Kč</t>
  </si>
  <si>
    <t>Převod do Fondu účelově určených prostředků v Kč (do roku 2022)</t>
  </si>
  <si>
    <t>Použití z Fondu účelově určených prostředků v roce 2021 v Kč (není součástí podpory na rok 2021)</t>
  </si>
  <si>
    <t>Nevyčerpaná část podpory za rok 2021 v Kč (Vratka)</t>
  </si>
  <si>
    <t>vratka na MŠMT 11.11.2021</t>
  </si>
  <si>
    <r>
      <t xml:space="preserve">Plán </t>
    </r>
    <r>
      <rPr>
        <b/>
        <sz val="11"/>
        <color theme="5" tint="-0.249977111117893"/>
        <rFont val="Calibri"/>
        <family val="2"/>
        <charset val="238"/>
        <scheme val="minor"/>
      </rPr>
      <t>se snižuje dle d č.2</t>
    </r>
  </si>
  <si>
    <r>
      <t xml:space="preserve">Plán </t>
    </r>
    <r>
      <rPr>
        <b/>
        <sz val="11"/>
        <color theme="5" tint="-0.249977111117893"/>
        <rFont val="Calibri"/>
        <family val="2"/>
        <charset val="238"/>
        <scheme val="minor"/>
      </rPr>
      <t xml:space="preserve">navýšení dle dč1 z roku 2021 a </t>
    </r>
    <r>
      <rPr>
        <b/>
        <sz val="11"/>
        <color rgb="FF00B0F0"/>
        <rFont val="Calibri"/>
        <family val="2"/>
        <charset val="238"/>
        <scheme val="minor"/>
      </rPr>
      <t>dále dle dč2 se snižuje do roku 2023</t>
    </r>
  </si>
  <si>
    <t>Výše poskytnuté podpory MŠMT pro rok 2022 v Kč</t>
  </si>
  <si>
    <t>Převod do Fondu účelově určených prostředků v Kč (do roku 2023)</t>
  </si>
  <si>
    <t>Použití z Fondu účelově určených prostředků v roce 2022 v Kč (není součástí podpory na rok 2022)</t>
  </si>
  <si>
    <t>Nevyčerpaná část podpory za rok 2022 v Kč (Vratka)</t>
  </si>
  <si>
    <t>SUM</t>
  </si>
  <si>
    <t xml:space="preserve">TC </t>
  </si>
  <si>
    <r>
      <t>Plán</t>
    </r>
    <r>
      <rPr>
        <b/>
        <sz val="11"/>
        <color rgb="FFFFC000"/>
        <rFont val="Calibri"/>
        <family val="2"/>
        <charset val="238"/>
        <scheme val="minor"/>
      </rPr>
      <t xml:space="preserve"> se navyšuje dle dč3 </t>
    </r>
  </si>
  <si>
    <r>
      <t xml:space="preserve">Plán </t>
    </r>
    <r>
      <rPr>
        <b/>
        <sz val="11"/>
        <color theme="5" tint="-0.249977111117893"/>
        <rFont val="Calibri"/>
        <family val="2"/>
        <charset val="238"/>
        <scheme val="minor"/>
      </rPr>
      <t xml:space="preserve">navýšení dle dč2 </t>
    </r>
    <r>
      <rPr>
        <b/>
        <sz val="11"/>
        <color rgb="FFFFC000"/>
        <rFont val="Calibri"/>
        <family val="2"/>
        <charset val="238"/>
        <scheme val="minor"/>
      </rPr>
      <t>a  přesun dle dč3 a přesun dle dč5</t>
    </r>
  </si>
  <si>
    <r>
      <t xml:space="preserve">Plán </t>
    </r>
    <r>
      <rPr>
        <b/>
        <sz val="11"/>
        <color rgb="FF00B0F0"/>
        <rFont val="Calibri"/>
        <family val="2"/>
        <charset val="238"/>
        <scheme val="minor"/>
      </rPr>
      <t>navýšení z roku 2022 dle dč2</t>
    </r>
  </si>
  <si>
    <t>Výše poskytnuté podpory MŠMT pro rok 2023 v Kč</t>
  </si>
  <si>
    <t>Převod do Fondu účelově určených prostředků v Kč (do roku 2024)</t>
  </si>
  <si>
    <t>Použití z Fondu účelově určených prostředků v roce 2023 v Kč (není součástí podpory na rok 2023)</t>
  </si>
  <si>
    <t>Nevyčerpaná část podpory za rok 2023 v Kč (Vratka)</t>
  </si>
  <si>
    <t>Platba</t>
  </si>
  <si>
    <t>vratka na MŠMT 8.11.2023</t>
  </si>
  <si>
    <t>Plán se navyšuje o přesun z roku 2023 dle dč5</t>
  </si>
  <si>
    <t>Výše poskytnuté podpory MŠMT pro rok 2024 v Kč</t>
  </si>
  <si>
    <t>Převod do Fondu účelově určených prostředků v Kč (do roku 2025-nemělo by se převádět)</t>
  </si>
  <si>
    <t>Použití z Fondu účelově určených prostředků v roce 2024 v Kč (není součástí podpory na rok 2024)</t>
  </si>
  <si>
    <t>Nevyčerpaná část podpory za rok 2024 v Kč (Vratka)</t>
  </si>
  <si>
    <t>STRATIN+ 2022</t>
  </si>
  <si>
    <t xml:space="preserve">SUM </t>
  </si>
  <si>
    <t>Převod do Fondu účelově určených prostředků v Kč</t>
  </si>
  <si>
    <t>STRATIN+ PSC 2023</t>
  </si>
  <si>
    <t>SÚ plán</t>
  </si>
  <si>
    <t>rozdíl</t>
  </si>
  <si>
    <t>SSČ plán</t>
  </si>
  <si>
    <t xml:space="preserve">rozdíl </t>
  </si>
  <si>
    <t>NVF plán</t>
  </si>
  <si>
    <t>STRATIN+ PSC 2024</t>
  </si>
  <si>
    <t>Použití z Fondu účelově určených prostředků v roce 2024 v Kč (není součástí podpory na rok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</si>
</sst>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FFC00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164" fontId="3" fillId="0" borderId="1" xfId="0" applyNumberFormat="1" applyFont="1" applyBorder="1"/>
    <xf numFmtId="10" fontId="3" fillId="0" borderId="1" xfId="1" applyNumberFormat="1" applyFont="1" applyBorder="1"/>
    <xf numFmtId="0" fontId="4" fillId="0" borderId="1" xfId="0" applyFont="1" applyBorder="1" applyAlignment="1">
      <alignment horizontal="right"/>
    </xf>
    <xf numFmtId="164" fontId="3" fillId="0" borderId="0" xfId="0" applyNumberFormat="1" applyFont="1"/>
    <xf numFmtId="0" fontId="3" fillId="0" borderId="0" xfId="0" applyFont="1"/>
    <xf numFmtId="164" fontId="6" fillId="0" borderId="1" xfId="0" applyNumberFormat="1" applyFont="1" applyBorder="1"/>
    <xf numFmtId="164" fontId="8" fillId="0" borderId="1" xfId="0" applyNumberFormat="1" applyFont="1" applyBorder="1"/>
    <xf numFmtId="0" fontId="4" fillId="0" borderId="1" xfId="0" applyFont="1" applyBorder="1" applyAlignment="1">
      <alignment horizontal="left"/>
    </xf>
    <xf numFmtId="164" fontId="10" fillId="0" borderId="1" xfId="0" applyNumberFormat="1" applyFont="1" applyBorder="1"/>
    <xf numFmtId="0" fontId="2" fillId="0" borderId="1" xfId="0" applyFont="1" applyBorder="1" applyAlignment="1">
      <alignment horizontal="center"/>
    </xf>
    <xf numFmtId="164" fontId="12" fillId="0" borderId="1" xfId="0" applyNumberFormat="1" applyFont="1" applyBorder="1"/>
    <xf numFmtId="0" fontId="0" fillId="0" borderId="0" xfId="0" applyAlignment="1">
      <alignment wrapText="1"/>
    </xf>
    <xf numFmtId="0" fontId="3" fillId="0" borderId="1" xfId="1" applyNumberFormat="1" applyFont="1" applyBorder="1"/>
    <xf numFmtId="14" fontId="0" fillId="0" borderId="0" xfId="0" applyNumberFormat="1"/>
    <xf numFmtId="164" fontId="5" fillId="0" borderId="0" xfId="0" applyNumberFormat="1" applyFont="1"/>
    <xf numFmtId="164" fontId="0" fillId="2" borderId="0" xfId="0" applyNumberFormat="1" applyFill="1"/>
    <xf numFmtId="0" fontId="0" fillId="2" borderId="0" xfId="0" applyFill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workbookViewId="0">
      <selection activeCell="A23" sqref="A23"/>
    </sheetView>
  </sheetViews>
  <sheetFormatPr defaultRowHeight="15" x14ac:dyDescent="0.25"/>
  <cols>
    <col min="1" max="1" width="78.42578125" customWidth="1"/>
    <col min="2" max="3" width="15.42578125" bestFit="1" customWidth="1"/>
    <col min="4" max="4" width="7.5703125" bestFit="1" customWidth="1"/>
    <col min="5" max="5" width="16.7109375" customWidth="1"/>
    <col min="6" max="7" width="15.42578125" customWidth="1"/>
    <col min="8" max="8" width="16.28515625" bestFit="1" customWidth="1"/>
    <col min="9" max="9" width="15.42578125" customWidth="1"/>
    <col min="10" max="10" width="8.5703125" customWidth="1"/>
    <col min="11" max="11" width="16.28515625" bestFit="1" customWidth="1"/>
    <col min="12" max="12" width="18.140625" customWidth="1"/>
    <col min="13" max="13" width="15.42578125" customWidth="1"/>
    <col min="14" max="15" width="16.42578125" bestFit="1" customWidth="1"/>
  </cols>
  <sheetData>
    <row r="1" spans="1:16" x14ac:dyDescent="0.25">
      <c r="A1" s="2" t="s">
        <v>0</v>
      </c>
      <c r="K1" s="13"/>
      <c r="L1" s="13"/>
      <c r="M1" s="13"/>
    </row>
    <row r="2" spans="1:16" x14ac:dyDescent="0.25">
      <c r="A2" s="3" t="s">
        <v>1</v>
      </c>
      <c r="B2" s="4" t="s">
        <v>2</v>
      </c>
      <c r="C2" s="11" t="s">
        <v>3</v>
      </c>
      <c r="D2" s="11" t="s">
        <v>4</v>
      </c>
      <c r="E2" s="4" t="s">
        <v>5</v>
      </c>
      <c r="F2" s="11" t="s">
        <v>3</v>
      </c>
      <c r="G2" s="11" t="s">
        <v>4</v>
      </c>
      <c r="H2" s="4" t="s">
        <v>6</v>
      </c>
      <c r="I2" s="11" t="s">
        <v>3</v>
      </c>
      <c r="J2" s="11" t="s">
        <v>4</v>
      </c>
      <c r="K2" s="4" t="s">
        <v>7</v>
      </c>
      <c r="L2" s="16" t="s">
        <v>8</v>
      </c>
      <c r="M2" s="11" t="s">
        <v>4</v>
      </c>
      <c r="N2" s="4" t="s">
        <v>9</v>
      </c>
      <c r="O2" s="11" t="s">
        <v>3</v>
      </c>
    </row>
    <row r="3" spans="1:16" x14ac:dyDescent="0.25">
      <c r="A3" s="6" t="s">
        <v>10</v>
      </c>
      <c r="B3" s="5">
        <v>1232500</v>
      </c>
      <c r="C3" s="9">
        <v>1232500</v>
      </c>
      <c r="D3" s="9">
        <f>C3-B3</f>
        <v>0</v>
      </c>
      <c r="E3" s="5">
        <v>593801</v>
      </c>
      <c r="F3" s="9">
        <v>622080</v>
      </c>
      <c r="G3" s="9">
        <f>F3-E3</f>
        <v>28279</v>
      </c>
      <c r="H3" s="5">
        <v>630248</v>
      </c>
      <c r="I3" s="9">
        <v>630248</v>
      </c>
      <c r="J3" s="9">
        <f>I3-H3</f>
        <v>0</v>
      </c>
      <c r="K3" s="5">
        <v>5086541</v>
      </c>
      <c r="L3" s="9">
        <v>5086541</v>
      </c>
      <c r="M3" s="9">
        <f>L3-K3</f>
        <v>0</v>
      </c>
      <c r="N3" s="5">
        <f>B3+E3+H3+K3</f>
        <v>7543090</v>
      </c>
      <c r="O3" s="5">
        <f>C3+F3+I3+L3</f>
        <v>7571369</v>
      </c>
      <c r="P3" s="1"/>
    </row>
    <row r="4" spans="1:16" ht="30" x14ac:dyDescent="0.25">
      <c r="A4" s="6" t="s">
        <v>11</v>
      </c>
      <c r="B4" s="5">
        <f>B5</f>
        <v>0</v>
      </c>
      <c r="C4" s="9">
        <f t="shared" ref="C4" si="0">C5</f>
        <v>0</v>
      </c>
      <c r="D4" s="9">
        <f t="shared" ref="D4:D17" si="1">C4-B4</f>
        <v>0</v>
      </c>
      <c r="E4" s="5">
        <f t="shared" ref="E4:H4" si="2">E5</f>
        <v>0</v>
      </c>
      <c r="F4" s="9">
        <f t="shared" si="2"/>
        <v>0</v>
      </c>
      <c r="G4" s="9">
        <f>G5</f>
        <v>0</v>
      </c>
      <c r="H4" s="5">
        <f t="shared" si="2"/>
        <v>0</v>
      </c>
      <c r="I4" s="9">
        <f>I5</f>
        <v>0</v>
      </c>
      <c r="J4" s="9">
        <f>J5</f>
        <v>0</v>
      </c>
      <c r="K4" s="5">
        <f>K5</f>
        <v>0</v>
      </c>
      <c r="L4" s="9">
        <f t="shared" ref="L4" si="3">L5</f>
        <v>0</v>
      </c>
      <c r="M4" s="9">
        <f>M5</f>
        <v>0</v>
      </c>
      <c r="N4" s="5">
        <f>N5</f>
        <v>0</v>
      </c>
      <c r="O4" s="9">
        <f>O5</f>
        <v>0</v>
      </c>
      <c r="P4" s="1"/>
    </row>
    <row r="5" spans="1:16" x14ac:dyDescent="0.25">
      <c r="A5" s="7" t="s">
        <v>12</v>
      </c>
      <c r="B5" s="5">
        <v>0</v>
      </c>
      <c r="C5" s="9">
        <v>0</v>
      </c>
      <c r="D5" s="9">
        <f t="shared" si="1"/>
        <v>0</v>
      </c>
      <c r="E5" s="5">
        <v>0</v>
      </c>
      <c r="F5" s="9">
        <v>0</v>
      </c>
      <c r="G5" s="9">
        <f>F5-E5</f>
        <v>0</v>
      </c>
      <c r="H5" s="5">
        <v>0</v>
      </c>
      <c r="I5" s="9">
        <v>0</v>
      </c>
      <c r="J5" s="9">
        <f>I5-H5</f>
        <v>0</v>
      </c>
      <c r="K5" s="5">
        <v>0</v>
      </c>
      <c r="L5" s="9">
        <v>0</v>
      </c>
      <c r="M5" s="9">
        <f>L5-K5</f>
        <v>0</v>
      </c>
      <c r="N5" s="5">
        <f>B5+E5+H5</f>
        <v>0</v>
      </c>
      <c r="O5" s="5">
        <f>C5+F5+I5</f>
        <v>0</v>
      </c>
      <c r="P5" s="1"/>
    </row>
    <row r="6" spans="1:16" ht="30" x14ac:dyDescent="0.25">
      <c r="A6" s="6" t="s">
        <v>13</v>
      </c>
      <c r="B6" s="5">
        <f>B7+B8</f>
        <v>110500</v>
      </c>
      <c r="C6" s="9">
        <f>C7+C8</f>
        <v>110500</v>
      </c>
      <c r="D6" s="9">
        <f t="shared" si="1"/>
        <v>0</v>
      </c>
      <c r="E6" s="5">
        <f t="shared" ref="E6:J6" si="4">E7+E8</f>
        <v>141570</v>
      </c>
      <c r="F6" s="9">
        <f>F7+F8</f>
        <v>150000</v>
      </c>
      <c r="G6" s="9">
        <f>G7+G8</f>
        <v>8430</v>
      </c>
      <c r="H6" s="5">
        <f t="shared" si="4"/>
        <v>0</v>
      </c>
      <c r="I6" s="9">
        <f t="shared" si="4"/>
        <v>0</v>
      </c>
      <c r="J6" s="9">
        <f t="shared" si="4"/>
        <v>0</v>
      </c>
      <c r="K6" s="5">
        <f>K7+K8</f>
        <v>95000</v>
      </c>
      <c r="L6" s="9">
        <f t="shared" ref="L6:M6" si="5">L7+L8</f>
        <v>95000</v>
      </c>
      <c r="M6" s="9">
        <f t="shared" si="5"/>
        <v>0</v>
      </c>
      <c r="N6" s="5">
        <f>N7+N8</f>
        <v>347070</v>
      </c>
      <c r="O6" s="5">
        <f>O7+O8</f>
        <v>355500</v>
      </c>
      <c r="P6" s="1"/>
    </row>
    <row r="7" spans="1:16" x14ac:dyDescent="0.25">
      <c r="A7" s="7" t="s">
        <v>14</v>
      </c>
      <c r="B7" s="5">
        <v>110500</v>
      </c>
      <c r="C7" s="9">
        <v>110500</v>
      </c>
      <c r="D7" s="9">
        <f t="shared" si="1"/>
        <v>0</v>
      </c>
      <c r="E7" s="5">
        <v>141570</v>
      </c>
      <c r="F7" s="9">
        <v>150000</v>
      </c>
      <c r="G7" s="9">
        <f>F7-E7</f>
        <v>8430</v>
      </c>
      <c r="H7" s="5">
        <v>0</v>
      </c>
      <c r="I7" s="9"/>
      <c r="J7" s="9">
        <f>I7-H7</f>
        <v>0</v>
      </c>
      <c r="K7" s="5">
        <v>95000</v>
      </c>
      <c r="L7" s="15">
        <f>140000-45000</f>
        <v>95000</v>
      </c>
      <c r="M7" s="9">
        <f>L7-K7</f>
        <v>0</v>
      </c>
      <c r="N7" s="5">
        <f>B7+E7+H7+K7</f>
        <v>347070</v>
      </c>
      <c r="O7" s="5">
        <f>C7+F7+I7+L7</f>
        <v>355500</v>
      </c>
      <c r="P7" s="1"/>
    </row>
    <row r="8" spans="1:16" x14ac:dyDescent="0.25">
      <c r="A8" s="7" t="s">
        <v>15</v>
      </c>
      <c r="B8" s="5">
        <v>0</v>
      </c>
      <c r="C8" s="9">
        <v>0</v>
      </c>
      <c r="D8" s="9">
        <f t="shared" si="1"/>
        <v>0</v>
      </c>
      <c r="E8" s="5">
        <v>0</v>
      </c>
      <c r="F8" s="9">
        <v>0</v>
      </c>
      <c r="G8" s="9">
        <f>F8-E8</f>
        <v>0</v>
      </c>
      <c r="H8" s="5">
        <v>0</v>
      </c>
      <c r="I8" s="9"/>
      <c r="J8" s="9">
        <f>I8-H8</f>
        <v>0</v>
      </c>
      <c r="K8" s="5"/>
      <c r="L8" s="9"/>
      <c r="M8" s="9">
        <f>L8-K8</f>
        <v>0</v>
      </c>
      <c r="N8" s="5">
        <f>B8+E8+H8</f>
        <v>0</v>
      </c>
      <c r="O8" s="5">
        <f>C8+F8+I8</f>
        <v>0</v>
      </c>
      <c r="P8" s="1"/>
    </row>
    <row r="9" spans="1:16" ht="45" x14ac:dyDescent="0.25">
      <c r="A9" s="6" t="s">
        <v>16</v>
      </c>
      <c r="B9" s="5">
        <v>335750</v>
      </c>
      <c r="C9" s="9">
        <v>335750</v>
      </c>
      <c r="D9" s="9">
        <f t="shared" si="1"/>
        <v>0</v>
      </c>
      <c r="E9" s="5">
        <v>86692.01</v>
      </c>
      <c r="F9" s="9">
        <v>91020</v>
      </c>
      <c r="G9" s="9">
        <f>F9-E9</f>
        <v>4327.9900000000052</v>
      </c>
      <c r="H9" s="5">
        <v>157562</v>
      </c>
      <c r="I9" s="9">
        <v>157562</v>
      </c>
      <c r="J9" s="9">
        <f>I9-H9</f>
        <v>0</v>
      </c>
      <c r="K9" s="5">
        <v>1295385</v>
      </c>
      <c r="L9" s="15">
        <f>1306635-11250</f>
        <v>1295385</v>
      </c>
      <c r="M9" s="9">
        <f>L9-K9</f>
        <v>0</v>
      </c>
      <c r="N9" s="5">
        <f>B9+E9+H9+K9</f>
        <v>1875389.01</v>
      </c>
      <c r="O9" s="5">
        <f>C9+F9+I9+L9</f>
        <v>1879717</v>
      </c>
      <c r="P9" s="1"/>
    </row>
    <row r="10" spans="1:16" x14ac:dyDescent="0.25">
      <c r="A10" s="8" t="s">
        <v>17</v>
      </c>
      <c r="B10" s="9">
        <f>(B3+B6)*0.25</f>
        <v>335750</v>
      </c>
      <c r="C10" s="9">
        <f>(C3+C6)*0.25</f>
        <v>335750</v>
      </c>
      <c r="D10" s="9">
        <f t="shared" si="1"/>
        <v>0</v>
      </c>
      <c r="E10" s="9">
        <f t="shared" ref="E10:N10" si="6">(E3+E6)*0.25</f>
        <v>183842.75</v>
      </c>
      <c r="F10" s="9">
        <f t="shared" ref="F10:M10" si="7">(F3+F6)*0.25</f>
        <v>193020</v>
      </c>
      <c r="G10" s="9">
        <f>(G3+G6)*0.25</f>
        <v>9177.25</v>
      </c>
      <c r="H10" s="9">
        <f t="shared" si="7"/>
        <v>157562</v>
      </c>
      <c r="I10" s="9">
        <f>(I3+I6)*0.25</f>
        <v>157562</v>
      </c>
      <c r="J10" s="9">
        <f t="shared" si="7"/>
        <v>0</v>
      </c>
      <c r="K10" s="9">
        <f t="shared" si="7"/>
        <v>1295385.25</v>
      </c>
      <c r="L10" s="9">
        <f t="shared" si="7"/>
        <v>1295385.25</v>
      </c>
      <c r="M10" s="9">
        <f t="shared" si="7"/>
        <v>0</v>
      </c>
      <c r="N10" s="9">
        <f t="shared" si="6"/>
        <v>1972540</v>
      </c>
      <c r="O10" s="9">
        <f t="shared" ref="O10" si="8">(O3+O6)*0.25</f>
        <v>1981717.25</v>
      </c>
      <c r="P10" s="1"/>
    </row>
    <row r="11" spans="1:16" x14ac:dyDescent="0.25">
      <c r="A11" s="8" t="s">
        <v>18</v>
      </c>
      <c r="B11" s="10">
        <f>B9/(B3+B6)</f>
        <v>0.25</v>
      </c>
      <c r="C11" s="10">
        <f>C9/(C3+C6)</f>
        <v>0.25</v>
      </c>
      <c r="D11" s="10" t="e">
        <f>D9/(D3+D6)</f>
        <v>#DIV/0!</v>
      </c>
      <c r="E11" s="10">
        <f t="shared" ref="E11:N11" si="9">E9/(E3+E6)</f>
        <v>0.11788880714632477</v>
      </c>
      <c r="F11" s="10">
        <f t="shared" ref="F11:M11" si="10">F9/(F3+F6)</f>
        <v>0.11788933789244638</v>
      </c>
      <c r="G11" s="10">
        <f t="shared" si="10"/>
        <v>0.11789997003459657</v>
      </c>
      <c r="H11" s="10">
        <f t="shared" si="10"/>
        <v>0.25</v>
      </c>
      <c r="I11" s="10">
        <f>I9/(I3+I6)</f>
        <v>0.25</v>
      </c>
      <c r="J11" s="21" t="e">
        <f>J9/(J3+J6)</f>
        <v>#DIV/0!</v>
      </c>
      <c r="K11" s="10">
        <f t="shared" si="10"/>
        <v>0.24999995175180512</v>
      </c>
      <c r="L11" s="10">
        <f t="shared" si="10"/>
        <v>0.24999995175180512</v>
      </c>
      <c r="M11" s="10" t="e">
        <f t="shared" si="10"/>
        <v>#DIV/0!</v>
      </c>
      <c r="N11" s="10">
        <f t="shared" si="9"/>
        <v>0.2376870697172174</v>
      </c>
      <c r="O11" s="10">
        <f t="shared" ref="O11" si="11">O9/(O3+O6)</f>
        <v>0.23713234065051408</v>
      </c>
      <c r="P11" s="1"/>
    </row>
    <row r="12" spans="1:16" x14ac:dyDescent="0.25">
      <c r="A12" s="6" t="s">
        <v>19</v>
      </c>
      <c r="B12" s="5">
        <f>B3+B4+B6+B9</f>
        <v>1678750</v>
      </c>
      <c r="C12" s="9">
        <f>C3+C4+C6+C9</f>
        <v>1678750</v>
      </c>
      <c r="D12" s="9">
        <f t="shared" si="1"/>
        <v>0</v>
      </c>
      <c r="E12" s="5">
        <f>E3+E4+E6+E9</f>
        <v>822063.01</v>
      </c>
      <c r="F12" s="9">
        <f>F3+F4+F6+F9</f>
        <v>863100</v>
      </c>
      <c r="G12" s="9">
        <f>F12-E12</f>
        <v>41036.989999999991</v>
      </c>
      <c r="H12" s="5">
        <f>H3+H4+H6+H9</f>
        <v>787810</v>
      </c>
      <c r="I12" s="9">
        <f t="shared" ref="I12:J12" si="12">I3+I4+I6+I9</f>
        <v>787810</v>
      </c>
      <c r="J12" s="9">
        <f t="shared" si="12"/>
        <v>0</v>
      </c>
      <c r="K12" s="5">
        <f>K3+K4+K6+K9</f>
        <v>6476926</v>
      </c>
      <c r="L12" s="9">
        <f>L3+L4+L6+L9</f>
        <v>6476926</v>
      </c>
      <c r="M12" s="9">
        <f t="shared" ref="M12" si="13">M3+M4+M6+M9</f>
        <v>0</v>
      </c>
      <c r="N12" s="5">
        <f>N3+N4+N6+N9</f>
        <v>9765549.0099999998</v>
      </c>
      <c r="O12" s="5">
        <f>O3+O4+O6+O9</f>
        <v>9806586</v>
      </c>
      <c r="P12" s="1"/>
    </row>
    <row r="13" spans="1:16" x14ac:dyDescent="0.25">
      <c r="A13" s="6"/>
      <c r="B13" s="5"/>
      <c r="C13" s="9"/>
      <c r="D13" s="9">
        <f t="shared" si="1"/>
        <v>0</v>
      </c>
      <c r="E13" s="5"/>
      <c r="F13" s="9"/>
      <c r="G13" s="9">
        <v>0</v>
      </c>
      <c r="H13" s="5"/>
      <c r="I13" s="9"/>
      <c r="J13" s="9"/>
      <c r="K13" s="5"/>
      <c r="L13" s="9"/>
      <c r="M13" s="9"/>
      <c r="N13" s="5"/>
      <c r="O13" s="9"/>
      <c r="P13" s="1"/>
    </row>
    <row r="14" spans="1:16" x14ac:dyDescent="0.25">
      <c r="A14" s="6" t="s">
        <v>20</v>
      </c>
      <c r="B14" s="5">
        <v>1678750</v>
      </c>
      <c r="C14" s="9">
        <f>C12</f>
        <v>1678750</v>
      </c>
      <c r="D14" s="9">
        <f t="shared" si="1"/>
        <v>0</v>
      </c>
      <c r="E14" s="5">
        <v>863100</v>
      </c>
      <c r="F14" s="9">
        <f>F12</f>
        <v>863100</v>
      </c>
      <c r="G14" s="9">
        <v>0</v>
      </c>
      <c r="H14" s="5">
        <v>787810</v>
      </c>
      <c r="I14" s="9">
        <f>I12</f>
        <v>787810</v>
      </c>
      <c r="J14" s="9"/>
      <c r="K14" s="5">
        <v>6476926</v>
      </c>
      <c r="L14" s="9">
        <f>L12</f>
        <v>6476926</v>
      </c>
      <c r="M14" s="9"/>
      <c r="N14" s="5">
        <f>B14+E14+H14+K14</f>
        <v>9806586</v>
      </c>
      <c r="O14" s="5">
        <f>C14+F14+I14+L14</f>
        <v>9806586</v>
      </c>
      <c r="P14" s="1"/>
    </row>
    <row r="15" spans="1:16" x14ac:dyDescent="0.25">
      <c r="A15" s="6" t="s">
        <v>21</v>
      </c>
      <c r="B15" s="5">
        <v>0</v>
      </c>
      <c r="C15" s="9"/>
      <c r="D15" s="9">
        <f t="shared" si="1"/>
        <v>0</v>
      </c>
      <c r="E15" s="5">
        <v>41036.99</v>
      </c>
      <c r="F15" s="9"/>
      <c r="G15" s="9">
        <v>0</v>
      </c>
      <c r="H15" s="5">
        <v>0</v>
      </c>
      <c r="I15" s="9"/>
      <c r="J15" s="9"/>
      <c r="K15" s="5"/>
      <c r="L15" s="9"/>
      <c r="M15" s="9"/>
      <c r="N15" s="5">
        <f>B15+E15+H15</f>
        <v>41036.99</v>
      </c>
      <c r="O15" s="5">
        <f>C15+F15+I15</f>
        <v>0</v>
      </c>
      <c r="P15" s="1"/>
    </row>
    <row r="16" spans="1:16" ht="30" x14ac:dyDescent="0.25">
      <c r="A16" s="6" t="s">
        <v>22</v>
      </c>
      <c r="B16" s="5">
        <v>0</v>
      </c>
      <c r="C16" s="9"/>
      <c r="D16" s="9">
        <f t="shared" si="1"/>
        <v>0</v>
      </c>
      <c r="E16" s="5">
        <v>0</v>
      </c>
      <c r="F16" s="9"/>
      <c r="G16" s="9">
        <v>0</v>
      </c>
      <c r="H16" s="5">
        <v>0</v>
      </c>
      <c r="I16" s="9"/>
      <c r="J16" s="9"/>
      <c r="K16" s="5">
        <v>0</v>
      </c>
      <c r="L16" s="9"/>
      <c r="M16" s="9"/>
      <c r="N16" s="5">
        <f>B16+E16+H16</f>
        <v>0</v>
      </c>
      <c r="O16" s="5">
        <f>C16+F16+I16</f>
        <v>0</v>
      </c>
      <c r="P16" s="1"/>
    </row>
    <row r="17" spans="1:16" x14ac:dyDescent="0.25">
      <c r="A17" s="6" t="s">
        <v>23</v>
      </c>
      <c r="B17" s="5">
        <v>0</v>
      </c>
      <c r="C17" s="9"/>
      <c r="D17" s="9">
        <f t="shared" si="1"/>
        <v>0</v>
      </c>
      <c r="E17" s="5">
        <v>0</v>
      </c>
      <c r="F17" s="9"/>
      <c r="G17" s="9">
        <v>0</v>
      </c>
      <c r="H17" s="5">
        <v>0</v>
      </c>
      <c r="I17" s="9"/>
      <c r="J17" s="9"/>
      <c r="K17" s="5">
        <v>0</v>
      </c>
      <c r="L17" s="9"/>
      <c r="M17" s="9"/>
      <c r="N17" s="5">
        <v>0</v>
      </c>
      <c r="O17" s="9"/>
      <c r="P17" s="1"/>
    </row>
    <row r="18" spans="1:16" x14ac:dyDescent="0.25">
      <c r="B18" s="1"/>
      <c r="C18" s="1"/>
      <c r="D18" s="1"/>
      <c r="E18" s="1"/>
      <c r="F18" s="12"/>
      <c r="G18" s="12"/>
      <c r="H18" s="1"/>
      <c r="I18" s="12"/>
      <c r="J18" s="12"/>
      <c r="K18" s="1"/>
      <c r="L18" s="12"/>
      <c r="M18" s="12"/>
      <c r="N18" s="1"/>
      <c r="O18" s="1"/>
      <c r="P18" s="1"/>
    </row>
    <row r="19" spans="1:16" x14ac:dyDescent="0.25">
      <c r="A19" s="20"/>
      <c r="B19" s="1"/>
      <c r="C19" s="1"/>
      <c r="D19" s="1"/>
      <c r="E19" s="1">
        <f>E16-E15</f>
        <v>-41036.99</v>
      </c>
      <c r="F19" s="1"/>
      <c r="G19" s="1"/>
      <c r="H19" s="1">
        <f>H16-H15</f>
        <v>0</v>
      </c>
      <c r="I19" s="1"/>
      <c r="J19" s="1"/>
      <c r="K19" s="1">
        <f>K16-K15</f>
        <v>0</v>
      </c>
      <c r="L19" s="12"/>
      <c r="M19" s="12"/>
      <c r="N19" s="1">
        <f>N16-N15</f>
        <v>-41036.99</v>
      </c>
      <c r="O19" s="1"/>
      <c r="P19" s="1"/>
    </row>
    <row r="20" spans="1:16" x14ac:dyDescent="0.25">
      <c r="B20" s="22">
        <v>44357</v>
      </c>
      <c r="C20" s="1"/>
      <c r="D20" s="1"/>
      <c r="E20" s="22">
        <v>44368</v>
      </c>
      <c r="F20" s="1"/>
      <c r="G20" s="1"/>
      <c r="H20" s="22">
        <v>44368</v>
      </c>
      <c r="I20" s="1"/>
      <c r="J20" s="1"/>
      <c r="K20" s="22">
        <v>44368</v>
      </c>
      <c r="L20" s="1"/>
      <c r="M20" s="1"/>
      <c r="N20" s="1"/>
      <c r="O20" s="1"/>
      <c r="P20" s="1"/>
    </row>
    <row r="21" spans="1:16" x14ac:dyDescent="0.25">
      <c r="A21" s="1"/>
      <c r="B21" s="1">
        <v>1678750</v>
      </c>
      <c r="E21" s="1">
        <v>863100</v>
      </c>
      <c r="H21" s="1">
        <v>787810</v>
      </c>
      <c r="K21" s="1">
        <v>6533176</v>
      </c>
      <c r="N21" s="1">
        <f>B21+E21+H21+K21</f>
        <v>9862836</v>
      </c>
    </row>
    <row r="22" spans="1:16" x14ac:dyDescent="0.25">
      <c r="K22" s="24">
        <f>K21-L14</f>
        <v>56250</v>
      </c>
    </row>
    <row r="23" spans="1:16" x14ac:dyDescent="0.25">
      <c r="K23" s="25" t="s">
        <v>24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8"/>
  <sheetViews>
    <sheetView workbookViewId="0">
      <selection activeCell="N1" sqref="N1:N1048576"/>
    </sheetView>
  </sheetViews>
  <sheetFormatPr defaultRowHeight="15" x14ac:dyDescent="0.25"/>
  <cols>
    <col min="1" max="1" width="26.42578125" customWidth="1"/>
    <col min="2" max="2" width="16.42578125" bestFit="1" customWidth="1"/>
    <col min="3" max="4" width="16.42578125" customWidth="1"/>
    <col min="5" max="5" width="16.7109375" customWidth="1"/>
    <col min="6" max="11" width="16.28515625" bestFit="1" customWidth="1"/>
    <col min="12" max="12" width="19.42578125" customWidth="1"/>
    <col min="13" max="13" width="16.28515625" bestFit="1" customWidth="1"/>
    <col min="14" max="15" width="16.42578125" bestFit="1" customWidth="1"/>
  </cols>
  <sheetData>
    <row r="1" spans="1:16" x14ac:dyDescent="0.25">
      <c r="A1" s="2" t="s">
        <v>0</v>
      </c>
      <c r="K1" s="13"/>
      <c r="L1" s="13"/>
      <c r="M1" s="13"/>
    </row>
    <row r="2" spans="1:16" x14ac:dyDescent="0.25">
      <c r="A2" s="3" t="s">
        <v>1</v>
      </c>
      <c r="B2" s="4" t="s">
        <v>2</v>
      </c>
      <c r="C2" s="11" t="s">
        <v>3</v>
      </c>
      <c r="D2" s="11" t="s">
        <v>4</v>
      </c>
      <c r="E2" s="4" t="s">
        <v>5</v>
      </c>
      <c r="F2" s="16" t="s">
        <v>25</v>
      </c>
      <c r="G2" s="11" t="s">
        <v>4</v>
      </c>
      <c r="H2" s="4" t="s">
        <v>6</v>
      </c>
      <c r="I2" s="11" t="s">
        <v>3</v>
      </c>
      <c r="J2" s="11" t="s">
        <v>4</v>
      </c>
      <c r="K2" s="4" t="s">
        <v>7</v>
      </c>
      <c r="L2" s="16" t="s">
        <v>26</v>
      </c>
      <c r="M2" s="11" t="s">
        <v>4</v>
      </c>
      <c r="N2" s="4" t="s">
        <v>9</v>
      </c>
      <c r="O2" s="11" t="s">
        <v>3</v>
      </c>
    </row>
    <row r="3" spans="1:16" ht="60" x14ac:dyDescent="0.25">
      <c r="A3" s="6" t="s">
        <v>10</v>
      </c>
      <c r="B3" s="5">
        <v>12061500</v>
      </c>
      <c r="C3" s="9">
        <v>12061500</v>
      </c>
      <c r="D3" s="9">
        <f>C3-B3</f>
        <v>0</v>
      </c>
      <c r="E3" s="5">
        <v>762087</v>
      </c>
      <c r="F3" s="15">
        <f>1355400-588660</f>
        <v>766740</v>
      </c>
      <c r="G3" s="9">
        <f>F3-E3</f>
        <v>4653</v>
      </c>
      <c r="H3" s="5">
        <v>606239</v>
      </c>
      <c r="I3" s="9">
        <v>606239</v>
      </c>
      <c r="J3" s="9">
        <f>I3-H3</f>
        <v>0</v>
      </c>
      <c r="K3" s="5">
        <v>4908319</v>
      </c>
      <c r="L3" s="9">
        <v>4908319</v>
      </c>
      <c r="M3" s="9">
        <f>L3-K3</f>
        <v>0</v>
      </c>
      <c r="N3" s="5">
        <f>B3+E3+H3+K3</f>
        <v>18338145</v>
      </c>
      <c r="O3" s="5">
        <f>C3+F3+I3+L3</f>
        <v>18342798</v>
      </c>
      <c r="P3" s="1"/>
    </row>
    <row r="4" spans="1:16" ht="90" x14ac:dyDescent="0.25">
      <c r="A4" s="6" t="s">
        <v>11</v>
      </c>
      <c r="B4" s="5">
        <f>B5</f>
        <v>306000</v>
      </c>
      <c r="C4" s="9">
        <f t="shared" ref="C4" si="0">C5</f>
        <v>306000</v>
      </c>
      <c r="D4" s="9">
        <f t="shared" ref="D4:D17" si="1">C4-B4</f>
        <v>0</v>
      </c>
      <c r="E4" s="5">
        <f t="shared" ref="E4:H4" si="2">E5</f>
        <v>0</v>
      </c>
      <c r="F4" s="9">
        <f t="shared" si="2"/>
        <v>0</v>
      </c>
      <c r="G4" s="9">
        <f t="shared" si="2"/>
        <v>0</v>
      </c>
      <c r="H4" s="5">
        <f t="shared" si="2"/>
        <v>0</v>
      </c>
      <c r="I4" s="9">
        <f>I5</f>
        <v>0</v>
      </c>
      <c r="J4" s="9">
        <f>J5</f>
        <v>0</v>
      </c>
      <c r="K4" s="5">
        <f>K5</f>
        <v>0</v>
      </c>
      <c r="L4" s="9">
        <f t="shared" ref="L4" si="3">L5</f>
        <v>0</v>
      </c>
      <c r="M4" s="9">
        <f>M5</f>
        <v>0</v>
      </c>
      <c r="N4" s="5">
        <f>N5</f>
        <v>306000</v>
      </c>
      <c r="O4" s="9">
        <f>O5</f>
        <v>306000</v>
      </c>
      <c r="P4" s="1"/>
    </row>
    <row r="5" spans="1:16" x14ac:dyDescent="0.25">
      <c r="A5" s="7" t="s">
        <v>12</v>
      </c>
      <c r="B5" s="5">
        <v>306000</v>
      </c>
      <c r="C5" s="9">
        <v>306000</v>
      </c>
      <c r="D5" s="9">
        <f t="shared" si="1"/>
        <v>0</v>
      </c>
      <c r="E5" s="5">
        <v>0</v>
      </c>
      <c r="F5" s="9">
        <v>0</v>
      </c>
      <c r="G5" s="9">
        <f>F5-E5</f>
        <v>0</v>
      </c>
      <c r="H5" s="5">
        <v>0</v>
      </c>
      <c r="I5" s="9">
        <v>0</v>
      </c>
      <c r="J5" s="9">
        <f>I5-H5</f>
        <v>0</v>
      </c>
      <c r="K5" s="5">
        <v>0</v>
      </c>
      <c r="L5" s="9">
        <v>0</v>
      </c>
      <c r="M5" s="9">
        <f>L5-K5</f>
        <v>0</v>
      </c>
      <c r="N5" s="5">
        <f>B5+E5+H5</f>
        <v>306000</v>
      </c>
      <c r="O5" s="5">
        <f>C5+F5+I5</f>
        <v>306000</v>
      </c>
      <c r="P5" s="1"/>
    </row>
    <row r="6" spans="1:16" ht="90" x14ac:dyDescent="0.25">
      <c r="A6" s="6" t="s">
        <v>13</v>
      </c>
      <c r="B6" s="5">
        <f>B7+B8</f>
        <v>1037000</v>
      </c>
      <c r="C6" s="9">
        <f>C7+C8</f>
        <v>1037000</v>
      </c>
      <c r="D6" s="9">
        <f t="shared" si="1"/>
        <v>0</v>
      </c>
      <c r="E6" s="5">
        <f t="shared" ref="E6:J6" si="4">E7+E8</f>
        <v>85205.84</v>
      </c>
      <c r="F6" s="9">
        <f>F7+F8</f>
        <v>80000</v>
      </c>
      <c r="G6" s="9">
        <f>G7+G8</f>
        <v>-5205.8399999999965</v>
      </c>
      <c r="H6" s="5">
        <f t="shared" si="4"/>
        <v>0</v>
      </c>
      <c r="I6" s="9">
        <f t="shared" si="4"/>
        <v>0</v>
      </c>
      <c r="J6" s="9">
        <f t="shared" si="4"/>
        <v>0</v>
      </c>
      <c r="K6" s="5">
        <f>K7+K8</f>
        <v>113000</v>
      </c>
      <c r="L6" s="9">
        <f t="shared" ref="L6:M6" si="5">L7+L8</f>
        <v>113000</v>
      </c>
      <c r="M6" s="9">
        <f t="shared" si="5"/>
        <v>0</v>
      </c>
      <c r="N6" s="5">
        <f>N7+N8</f>
        <v>1235205.8400000001</v>
      </c>
      <c r="O6" s="5">
        <f>O7+O8</f>
        <v>1230000</v>
      </c>
      <c r="P6" s="1"/>
    </row>
    <row r="7" spans="1:16" ht="30" x14ac:dyDescent="0.25">
      <c r="A7" s="7" t="s">
        <v>14</v>
      </c>
      <c r="B7" s="5">
        <v>913302.67</v>
      </c>
      <c r="C7" s="9">
        <v>1037000</v>
      </c>
      <c r="D7" s="9">
        <f t="shared" si="1"/>
        <v>123697.32999999996</v>
      </c>
      <c r="E7" s="5">
        <v>85205.84</v>
      </c>
      <c r="F7" s="15">
        <f>130000-50000</f>
        <v>80000</v>
      </c>
      <c r="G7" s="9">
        <f>F7-E7</f>
        <v>-5205.8399999999965</v>
      </c>
      <c r="H7" s="5">
        <v>0</v>
      </c>
      <c r="I7" s="9"/>
      <c r="J7" s="9">
        <f>I7-H7</f>
        <v>0</v>
      </c>
      <c r="K7" s="5">
        <v>113000</v>
      </c>
      <c r="L7" s="15">
        <f>148000+45000-80000</f>
        <v>113000</v>
      </c>
      <c r="M7" s="9">
        <f>L7-K7</f>
        <v>0</v>
      </c>
      <c r="N7" s="5">
        <f>B7+E7+H7+K7</f>
        <v>1111508.51</v>
      </c>
      <c r="O7" s="5">
        <f>C7+F7+I7+L7</f>
        <v>1230000</v>
      </c>
      <c r="P7" s="1"/>
    </row>
    <row r="8" spans="1:16" x14ac:dyDescent="0.25">
      <c r="A8" s="7" t="s">
        <v>15</v>
      </c>
      <c r="B8" s="5">
        <v>123697.33</v>
      </c>
      <c r="C8" s="9">
        <v>0</v>
      </c>
      <c r="D8" s="9">
        <f t="shared" si="1"/>
        <v>-123697.33</v>
      </c>
      <c r="E8" s="5">
        <v>0</v>
      </c>
      <c r="F8" s="9">
        <v>0</v>
      </c>
      <c r="G8" s="9">
        <f t="shared" ref="G8:G9" si="6">F8-E8</f>
        <v>0</v>
      </c>
      <c r="H8" s="5">
        <v>0</v>
      </c>
      <c r="I8" s="9"/>
      <c r="J8" s="9">
        <f>I8-H8</f>
        <v>0</v>
      </c>
      <c r="K8" s="5">
        <v>0</v>
      </c>
      <c r="L8" s="9">
        <v>0</v>
      </c>
      <c r="M8" s="9">
        <f>L8-K8</f>
        <v>0</v>
      </c>
      <c r="N8" s="5">
        <f>B8+E8+H8</f>
        <v>123697.33</v>
      </c>
      <c r="O8" s="5">
        <f>C8+F8+I8</f>
        <v>0</v>
      </c>
      <c r="P8" s="1"/>
    </row>
    <row r="9" spans="1:16" ht="21" customHeight="1" x14ac:dyDescent="0.25">
      <c r="A9" s="6" t="s">
        <v>16</v>
      </c>
      <c r="B9" s="5">
        <v>3274624</v>
      </c>
      <c r="C9" s="9">
        <f>3274625-1</f>
        <v>3274624</v>
      </c>
      <c r="D9" s="9">
        <f t="shared" si="1"/>
        <v>0</v>
      </c>
      <c r="E9" s="5">
        <v>151315.75</v>
      </c>
      <c r="F9" s="15">
        <f>269350-115789</f>
        <v>153561</v>
      </c>
      <c r="G9" s="9">
        <f t="shared" si="6"/>
        <v>2245.25</v>
      </c>
      <c r="H9" s="5">
        <v>151560</v>
      </c>
      <c r="I9" s="9">
        <v>151560</v>
      </c>
      <c r="J9" s="9">
        <f>I9-H9</f>
        <v>0</v>
      </c>
      <c r="K9" s="5">
        <v>1255330</v>
      </c>
      <c r="L9" s="15">
        <f>1264080+11250-20000</f>
        <v>1255330</v>
      </c>
      <c r="M9" s="9">
        <f>L9-K9</f>
        <v>0</v>
      </c>
      <c r="N9" s="5">
        <f>B9+E9+H9+K9</f>
        <v>4832829.75</v>
      </c>
      <c r="O9" s="5">
        <f>C9+F9+I9+L9</f>
        <v>4835075</v>
      </c>
      <c r="P9" s="1"/>
    </row>
    <row r="10" spans="1:16" x14ac:dyDescent="0.25">
      <c r="A10" s="8" t="s">
        <v>17</v>
      </c>
      <c r="B10" s="9">
        <f>(B3+B6)*0.25</f>
        <v>3274625</v>
      </c>
      <c r="C10" s="9">
        <f>(C3+C6)*0.25</f>
        <v>3274625</v>
      </c>
      <c r="D10" s="9">
        <f t="shared" si="1"/>
        <v>0</v>
      </c>
      <c r="E10" s="9">
        <f t="shared" ref="E10:O10" si="7">(E3+E6)*0.25</f>
        <v>211823.21</v>
      </c>
      <c r="F10" s="9">
        <f>(F3+F6)*0.25</f>
        <v>211685</v>
      </c>
      <c r="G10" s="9">
        <f t="shared" ref="G10" si="8">(G3+G6)*0.25</f>
        <v>-138.20999999999913</v>
      </c>
      <c r="H10" s="9">
        <f t="shared" si="7"/>
        <v>151559.75</v>
      </c>
      <c r="I10" s="9">
        <f t="shared" si="7"/>
        <v>151559.75</v>
      </c>
      <c r="J10" s="9">
        <f t="shared" si="7"/>
        <v>0</v>
      </c>
      <c r="K10" s="9">
        <f t="shared" si="7"/>
        <v>1255329.75</v>
      </c>
      <c r="L10" s="9">
        <f t="shared" ref="L10:M10" si="9">(L3+L6)*0.25</f>
        <v>1255329.75</v>
      </c>
      <c r="M10" s="9">
        <f t="shared" si="9"/>
        <v>0</v>
      </c>
      <c r="N10" s="9">
        <f t="shared" si="7"/>
        <v>4893337.71</v>
      </c>
      <c r="O10" s="9">
        <f t="shared" si="7"/>
        <v>4893199.5</v>
      </c>
      <c r="P10" s="1"/>
    </row>
    <row r="11" spans="1:16" x14ac:dyDescent="0.25">
      <c r="A11" s="8" t="s">
        <v>18</v>
      </c>
      <c r="B11" s="10">
        <f>B9/(B3+B6)</f>
        <v>0.24999992365538037</v>
      </c>
      <c r="C11" s="10">
        <f>C9/(C3+C6)</f>
        <v>0.24999992365538037</v>
      </c>
      <c r="D11" s="9">
        <f t="shared" si="1"/>
        <v>0</v>
      </c>
      <c r="E11" s="10">
        <f t="shared" ref="E11:O11" si="10">E9/(E3+E6)</f>
        <v>0.17858731108833636</v>
      </c>
      <c r="F11" s="10">
        <f t="shared" si="10"/>
        <v>0.18135555188133312</v>
      </c>
      <c r="G11" s="10">
        <f t="shared" ref="G11" si="11">G9/(G3+G6)</f>
        <v>-4.0613016424282149</v>
      </c>
      <c r="H11" s="10">
        <f t="shared" si="10"/>
        <v>0.25000041237861637</v>
      </c>
      <c r="I11" s="10">
        <f t="shared" si="10"/>
        <v>0.25000041237861637</v>
      </c>
      <c r="J11" s="10" t="e">
        <f t="shared" si="10"/>
        <v>#DIV/0!</v>
      </c>
      <c r="K11" s="10">
        <f t="shared" si="10"/>
        <v>0.25000004978771512</v>
      </c>
      <c r="L11" s="10">
        <f t="shared" ref="L11:M11" si="12">L9/(L3+L6)</f>
        <v>0.25000004978771512</v>
      </c>
      <c r="M11" s="10" t="e">
        <f t="shared" si="12"/>
        <v>#DIV/0!</v>
      </c>
      <c r="N11" s="10">
        <f t="shared" si="10"/>
        <v>0.24690865603469661</v>
      </c>
      <c r="O11" s="10">
        <f t="shared" si="10"/>
        <v>0.24703034282579323</v>
      </c>
      <c r="P11" s="1"/>
    </row>
    <row r="12" spans="1:16" x14ac:dyDescent="0.25">
      <c r="A12" s="6" t="s">
        <v>19</v>
      </c>
      <c r="B12" s="5">
        <f>B3+B4+B6+B9</f>
        <v>16679124</v>
      </c>
      <c r="C12" s="9">
        <f>C3+C4+C6+C9</f>
        <v>16679124</v>
      </c>
      <c r="D12" s="9">
        <f t="shared" si="1"/>
        <v>0</v>
      </c>
      <c r="E12" s="5">
        <f>E3+E4+E6+E9</f>
        <v>998608.59</v>
      </c>
      <c r="F12" s="5">
        <f>F3+F4+F9+F6</f>
        <v>1000301</v>
      </c>
      <c r="G12" s="5">
        <f>G3+G4+G9+G6</f>
        <v>1692.4100000000035</v>
      </c>
      <c r="H12" s="5">
        <f>H3+H4+H6+H9</f>
        <v>757799</v>
      </c>
      <c r="I12" s="9">
        <f t="shared" ref="I12:J12" si="13">I3+I4+I6+I9</f>
        <v>757799</v>
      </c>
      <c r="J12" s="9">
        <f t="shared" si="13"/>
        <v>0</v>
      </c>
      <c r="K12" s="5">
        <f>K3+K4+K6+K9</f>
        <v>6276649</v>
      </c>
      <c r="L12" s="9">
        <f t="shared" ref="L12:M12" si="14">L3+L4+L6+L9</f>
        <v>6276649</v>
      </c>
      <c r="M12" s="9">
        <f t="shared" si="14"/>
        <v>0</v>
      </c>
      <c r="N12" s="5">
        <f>N3+N4+N6+N9</f>
        <v>24712180.59</v>
      </c>
      <c r="O12" s="5">
        <f>O3+O4+O6+O9</f>
        <v>24713873</v>
      </c>
      <c r="P12" s="1"/>
    </row>
    <row r="13" spans="1:16" x14ac:dyDescent="0.25">
      <c r="A13" s="6"/>
      <c r="B13" s="5"/>
      <c r="C13" s="9"/>
      <c r="D13" s="9">
        <f t="shared" si="1"/>
        <v>0</v>
      </c>
      <c r="E13" s="5"/>
      <c r="F13" s="9"/>
      <c r="G13" s="9">
        <v>0</v>
      </c>
      <c r="H13" s="5"/>
      <c r="I13" s="9"/>
      <c r="J13" s="9"/>
      <c r="K13" s="5"/>
      <c r="L13" s="9"/>
      <c r="M13" s="9"/>
      <c r="N13" s="5"/>
      <c r="O13" s="9"/>
      <c r="P13" s="1"/>
    </row>
    <row r="14" spans="1:16" ht="30" x14ac:dyDescent="0.25">
      <c r="A14" s="6" t="s">
        <v>27</v>
      </c>
      <c r="B14" s="5">
        <v>16679124</v>
      </c>
      <c r="C14" s="9">
        <f>C12</f>
        <v>16679124</v>
      </c>
      <c r="D14" s="9">
        <f t="shared" si="1"/>
        <v>0</v>
      </c>
      <c r="E14" s="5">
        <v>1000301</v>
      </c>
      <c r="F14" s="9">
        <f>F12</f>
        <v>1000301</v>
      </c>
      <c r="G14" s="9">
        <v>0</v>
      </c>
      <c r="H14" s="5"/>
      <c r="I14" s="9">
        <f>I12</f>
        <v>757799</v>
      </c>
      <c r="J14" s="9"/>
      <c r="K14" s="5">
        <v>6276649</v>
      </c>
      <c r="L14" s="9">
        <f>L12</f>
        <v>6276649</v>
      </c>
      <c r="M14" s="9"/>
      <c r="N14" s="5">
        <f>O12</f>
        <v>24713873</v>
      </c>
      <c r="O14" s="5">
        <f>C14+F14+I14</f>
        <v>18437224</v>
      </c>
      <c r="P14" s="1"/>
    </row>
    <row r="15" spans="1:16" ht="45" x14ac:dyDescent="0.25">
      <c r="A15" s="6" t="s">
        <v>28</v>
      </c>
      <c r="B15" s="5">
        <v>0</v>
      </c>
      <c r="C15" s="9"/>
      <c r="D15" s="9">
        <f t="shared" si="1"/>
        <v>0</v>
      </c>
      <c r="E15" s="5">
        <v>42729.4</v>
      </c>
      <c r="F15" s="9"/>
      <c r="G15" s="9">
        <v>0</v>
      </c>
      <c r="H15" s="5">
        <v>0</v>
      </c>
      <c r="I15" s="9"/>
      <c r="J15" s="9"/>
      <c r="K15" s="5"/>
      <c r="L15" s="9"/>
      <c r="M15" s="9"/>
      <c r="N15" s="5">
        <f>B15+E15+H15</f>
        <v>42729.4</v>
      </c>
      <c r="O15" s="5">
        <f>C15+F15+I15</f>
        <v>0</v>
      </c>
      <c r="P15" s="1"/>
    </row>
    <row r="16" spans="1:16" ht="60" x14ac:dyDescent="0.25">
      <c r="A16" s="6" t="s">
        <v>29</v>
      </c>
      <c r="B16" s="5">
        <v>0</v>
      </c>
      <c r="C16" s="9"/>
      <c r="D16" s="9">
        <f t="shared" si="1"/>
        <v>0</v>
      </c>
      <c r="E16" s="5">
        <v>41036.99</v>
      </c>
      <c r="F16" s="9"/>
      <c r="G16" s="9">
        <v>0</v>
      </c>
      <c r="H16" s="5">
        <v>0</v>
      </c>
      <c r="I16" s="9"/>
      <c r="J16" s="9"/>
      <c r="K16" s="5">
        <v>0</v>
      </c>
      <c r="L16" s="9"/>
      <c r="M16" s="9"/>
      <c r="N16" s="5">
        <f>B16+E16+H16</f>
        <v>41036.99</v>
      </c>
      <c r="O16" s="5">
        <f>C16+F16+I16</f>
        <v>0</v>
      </c>
      <c r="P16" s="1"/>
    </row>
    <row r="17" spans="1:16" ht="30" x14ac:dyDescent="0.25">
      <c r="A17" s="6" t="s">
        <v>30</v>
      </c>
      <c r="B17" s="5">
        <v>0</v>
      </c>
      <c r="C17" s="9"/>
      <c r="D17" s="9">
        <f t="shared" si="1"/>
        <v>0</v>
      </c>
      <c r="E17" s="5">
        <v>0</v>
      </c>
      <c r="F17" s="9"/>
      <c r="G17" s="9">
        <v>0</v>
      </c>
      <c r="H17" s="5">
        <v>0</v>
      </c>
      <c r="I17" s="9"/>
      <c r="J17" s="9"/>
      <c r="K17" s="5">
        <v>0</v>
      </c>
      <c r="L17" s="9"/>
      <c r="M17" s="9"/>
      <c r="N17" s="5">
        <v>0</v>
      </c>
      <c r="O17" s="9"/>
      <c r="P17" s="1"/>
    </row>
    <row r="18" spans="1:16" x14ac:dyDescent="0.25">
      <c r="B18" s="1"/>
      <c r="C18" s="1"/>
      <c r="D18" s="1"/>
      <c r="E18" s="1"/>
      <c r="F18" s="12"/>
      <c r="G18" s="12"/>
      <c r="H18" s="1"/>
      <c r="I18" s="12"/>
      <c r="J18" s="12"/>
      <c r="K18" s="1"/>
      <c r="L18" s="12"/>
      <c r="M18" s="12"/>
      <c r="N18" s="1"/>
      <c r="O18" s="1"/>
      <c r="P18" s="1"/>
    </row>
    <row r="19" spans="1:16" x14ac:dyDescent="0.25">
      <c r="B19" s="1"/>
      <c r="C19" s="1"/>
      <c r="D19" s="1"/>
      <c r="E19" s="1">
        <f>E16-E15</f>
        <v>-1692.4100000000035</v>
      </c>
      <c r="F19" s="1"/>
      <c r="G19" s="1"/>
      <c r="H19" s="1">
        <f>H16-H15</f>
        <v>0</v>
      </c>
      <c r="I19" s="1"/>
      <c r="J19" s="1"/>
      <c r="K19" s="1">
        <f>K16-K15</f>
        <v>0</v>
      </c>
      <c r="L19" s="12"/>
      <c r="M19" s="12"/>
      <c r="N19" s="1">
        <f>N16-N15</f>
        <v>-1692.4100000000035</v>
      </c>
      <c r="O19" s="1"/>
      <c r="P19" s="1"/>
    </row>
    <row r="20" spans="1:16" x14ac:dyDescent="0.25"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1"/>
    </row>
    <row r="21" spans="1:16" x14ac:dyDescent="0.25">
      <c r="A21" t="s">
        <v>31</v>
      </c>
      <c r="B21" s="22">
        <v>44592</v>
      </c>
      <c r="C21" s="22">
        <v>44613</v>
      </c>
      <c r="D21" s="22">
        <v>44638</v>
      </c>
      <c r="E21" s="22">
        <v>44665</v>
      </c>
      <c r="F21" s="1"/>
      <c r="G21" s="1"/>
      <c r="H21" t="s">
        <v>31</v>
      </c>
      <c r="I21" s="22">
        <v>44609</v>
      </c>
      <c r="J21" s="22">
        <v>44628</v>
      </c>
      <c r="K21" s="22">
        <v>44650</v>
      </c>
      <c r="L21" s="22">
        <v>44677</v>
      </c>
      <c r="M21" s="1"/>
      <c r="N21" s="1">
        <f>A22+E25+H22+K25</f>
        <v>24713873</v>
      </c>
      <c r="O21" s="1"/>
    </row>
    <row r="22" spans="1:16" x14ac:dyDescent="0.25">
      <c r="A22" s="1">
        <f>B22+C22+D22+E22</f>
        <v>16679124</v>
      </c>
      <c r="B22" s="1">
        <v>1369904.53</v>
      </c>
      <c r="C22" s="1">
        <v>1402521.31</v>
      </c>
      <c r="D22" s="1">
        <v>1402521.31</v>
      </c>
      <c r="E22" s="1">
        <v>12504176.85</v>
      </c>
      <c r="F22" s="1"/>
      <c r="G22" s="1"/>
      <c r="H22" s="1">
        <f>I22+J22+K22+L22</f>
        <v>757799</v>
      </c>
      <c r="I22" s="1">
        <v>62240.22</v>
      </c>
      <c r="J22" s="1">
        <v>63722.13</v>
      </c>
      <c r="K22" s="1">
        <v>63722.13</v>
      </c>
      <c r="L22" s="1">
        <v>568114.52</v>
      </c>
      <c r="M22" s="1"/>
      <c r="N22" s="1"/>
      <c r="O22" s="1"/>
    </row>
    <row r="23" spans="1:16" x14ac:dyDescent="0.25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6" x14ac:dyDescent="0.25">
      <c r="E24" t="s">
        <v>31</v>
      </c>
      <c r="F24" s="22">
        <v>44609</v>
      </c>
      <c r="G24" s="22">
        <v>44628</v>
      </c>
      <c r="H24" s="22">
        <v>44650</v>
      </c>
      <c r="I24" s="22">
        <v>44677</v>
      </c>
      <c r="K24" t="s">
        <v>31</v>
      </c>
      <c r="L24" s="22">
        <v>44609</v>
      </c>
      <c r="M24" s="22">
        <v>44628</v>
      </c>
      <c r="N24" s="22">
        <v>44650</v>
      </c>
      <c r="O24" s="22">
        <v>44677</v>
      </c>
    </row>
    <row r="25" spans="1:16" x14ac:dyDescent="0.25">
      <c r="E25" s="1">
        <f>F25+G25+H25+I25</f>
        <v>1000301</v>
      </c>
      <c r="F25" s="1">
        <v>144122.68</v>
      </c>
      <c r="G25" s="1">
        <v>147554.17000000001</v>
      </c>
      <c r="H25" s="1">
        <v>147554.17000000001</v>
      </c>
      <c r="I25" s="1">
        <v>561069.98</v>
      </c>
      <c r="K25" s="1">
        <f>L25+M25+N25+O25</f>
        <v>6276649</v>
      </c>
      <c r="L25" s="1">
        <v>523732.57</v>
      </c>
      <c r="M25" s="1">
        <v>536202.39</v>
      </c>
      <c r="N25" s="1">
        <v>536202.39</v>
      </c>
      <c r="O25" s="1">
        <v>4680511.6500000004</v>
      </c>
    </row>
    <row r="27" spans="1:16" x14ac:dyDescent="0.25">
      <c r="I27" s="22"/>
      <c r="J27" s="22"/>
      <c r="K27" s="22"/>
      <c r="L27" s="22"/>
    </row>
    <row r="28" spans="1:16" x14ac:dyDescent="0.25">
      <c r="H28" s="1"/>
      <c r="I28" s="1"/>
      <c r="J28" s="1"/>
      <c r="K28" s="1"/>
      <c r="L28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3"/>
  <sheetViews>
    <sheetView workbookViewId="0">
      <selection activeCell="E28" sqref="E28"/>
    </sheetView>
  </sheetViews>
  <sheetFormatPr defaultRowHeight="15" x14ac:dyDescent="0.25"/>
  <cols>
    <col min="1" max="1" width="26.42578125" customWidth="1"/>
    <col min="2" max="2" width="16.42578125" bestFit="1" customWidth="1"/>
    <col min="3" max="4" width="16.42578125" customWidth="1"/>
    <col min="5" max="5" width="16.7109375" customWidth="1"/>
    <col min="6" max="13" width="16.28515625" bestFit="1" customWidth="1"/>
    <col min="14" max="15" width="16.42578125" bestFit="1" customWidth="1"/>
  </cols>
  <sheetData>
    <row r="1" spans="1:16" x14ac:dyDescent="0.25">
      <c r="A1" s="2" t="s">
        <v>0</v>
      </c>
      <c r="K1" s="13"/>
      <c r="L1" s="13"/>
      <c r="M1" s="13"/>
    </row>
    <row r="2" spans="1:16" x14ac:dyDescent="0.25">
      <c r="A2" s="3" t="s">
        <v>1</v>
      </c>
      <c r="B2" s="18" t="s">
        <v>32</v>
      </c>
      <c r="C2" s="16" t="s">
        <v>33</v>
      </c>
      <c r="D2" s="11" t="s">
        <v>4</v>
      </c>
      <c r="E2" s="4" t="s">
        <v>5</v>
      </c>
      <c r="F2" s="16" t="s">
        <v>34</v>
      </c>
      <c r="G2" s="11" t="s">
        <v>4</v>
      </c>
      <c r="H2" s="4" t="s">
        <v>6</v>
      </c>
      <c r="I2" s="11" t="s">
        <v>3</v>
      </c>
      <c r="J2" s="11" t="s">
        <v>4</v>
      </c>
      <c r="K2" s="4" t="s">
        <v>7</v>
      </c>
      <c r="L2" s="16" t="s">
        <v>35</v>
      </c>
      <c r="M2" s="11" t="s">
        <v>4</v>
      </c>
      <c r="N2" s="4" t="s">
        <v>9</v>
      </c>
      <c r="O2" s="11" t="s">
        <v>3</v>
      </c>
    </row>
    <row r="3" spans="1:16" ht="60" x14ac:dyDescent="0.25">
      <c r="A3" s="6" t="s">
        <v>10</v>
      </c>
      <c r="B3" s="5">
        <v>15961500</v>
      </c>
      <c r="C3" s="14">
        <f>13421500+2540000</f>
        <v>15961500</v>
      </c>
      <c r="D3" s="9">
        <f>C3-B3</f>
        <v>0</v>
      </c>
      <c r="E3" s="5">
        <v>1713224</v>
      </c>
      <c r="F3" s="15">
        <f>1872145+588660-550000-203730</f>
        <v>1707075</v>
      </c>
      <c r="G3" s="9">
        <f>F3-E3</f>
        <v>-6149</v>
      </c>
      <c r="H3" s="5">
        <v>639251</v>
      </c>
      <c r="I3" s="9">
        <v>639251</v>
      </c>
      <c r="J3" s="9">
        <f>I3-H3</f>
        <v>0</v>
      </c>
      <c r="K3" s="5">
        <v>3930509</v>
      </c>
      <c r="L3" s="9">
        <v>3930509</v>
      </c>
      <c r="M3" s="9">
        <f>L3-K3</f>
        <v>0</v>
      </c>
      <c r="N3" s="5">
        <f>B3+E3+H3+K3</f>
        <v>22244484</v>
      </c>
      <c r="O3" s="5">
        <f>C3+F3+I3+L3</f>
        <v>22238335</v>
      </c>
      <c r="P3" s="1"/>
    </row>
    <row r="4" spans="1:16" ht="90" x14ac:dyDescent="0.25">
      <c r="A4" s="6" t="s">
        <v>11</v>
      </c>
      <c r="B4" s="5">
        <f>B5</f>
        <v>573000</v>
      </c>
      <c r="C4" s="9">
        <f t="shared" ref="C4" si="0">C5</f>
        <v>573000</v>
      </c>
      <c r="D4" s="9">
        <f t="shared" ref="D4:D17" si="1">C4-B4</f>
        <v>0</v>
      </c>
      <c r="E4" s="5">
        <f t="shared" ref="E4:H4" si="2">E5</f>
        <v>0</v>
      </c>
      <c r="F4" s="9">
        <f t="shared" si="2"/>
        <v>0</v>
      </c>
      <c r="G4" s="9">
        <f>G5</f>
        <v>0</v>
      </c>
      <c r="H4" s="5">
        <f t="shared" si="2"/>
        <v>0</v>
      </c>
      <c r="I4" s="9">
        <f>I5</f>
        <v>0</v>
      </c>
      <c r="J4" s="9">
        <f>J5</f>
        <v>0</v>
      </c>
      <c r="K4" s="5">
        <f>K5</f>
        <v>0</v>
      </c>
      <c r="L4" s="9">
        <f t="shared" ref="L4" si="3">L5</f>
        <v>0</v>
      </c>
      <c r="M4" s="9">
        <f>M5</f>
        <v>0</v>
      </c>
      <c r="N4" s="5">
        <f>N5</f>
        <v>573000</v>
      </c>
      <c r="O4" s="9">
        <f>O5</f>
        <v>573000</v>
      </c>
      <c r="P4" s="1"/>
    </row>
    <row r="5" spans="1:16" x14ac:dyDescent="0.25">
      <c r="A5" s="7" t="s">
        <v>12</v>
      </c>
      <c r="B5" s="5">
        <v>573000</v>
      </c>
      <c r="C5" s="14">
        <f>323000+250000</f>
        <v>573000</v>
      </c>
      <c r="D5" s="9">
        <f t="shared" si="1"/>
        <v>0</v>
      </c>
      <c r="E5" s="5">
        <v>0</v>
      </c>
      <c r="F5" s="9">
        <v>0</v>
      </c>
      <c r="G5" s="9">
        <f>F5-E5</f>
        <v>0</v>
      </c>
      <c r="H5" s="5">
        <v>0</v>
      </c>
      <c r="I5" s="9">
        <v>0</v>
      </c>
      <c r="J5" s="9">
        <f>I5-H5</f>
        <v>0</v>
      </c>
      <c r="K5" s="5">
        <v>0</v>
      </c>
      <c r="L5" s="9">
        <v>0</v>
      </c>
      <c r="M5" s="9">
        <f>L5-K5</f>
        <v>0</v>
      </c>
      <c r="N5" s="5">
        <f>B5+E5+H5</f>
        <v>573000</v>
      </c>
      <c r="O5" s="5">
        <f>C5+F5+I5</f>
        <v>573000</v>
      </c>
      <c r="P5" s="1"/>
    </row>
    <row r="6" spans="1:16" ht="90" x14ac:dyDescent="0.25">
      <c r="A6" s="6" t="s">
        <v>13</v>
      </c>
      <c r="B6" s="5">
        <f>B7+B8</f>
        <v>1291000</v>
      </c>
      <c r="C6" s="9">
        <f>C7+C8</f>
        <v>1291000</v>
      </c>
      <c r="D6" s="9">
        <f t="shared" si="1"/>
        <v>0</v>
      </c>
      <c r="E6" s="5">
        <f t="shared" ref="E6:J6" si="4">E7+E8</f>
        <v>147429.57999999999</v>
      </c>
      <c r="F6" s="9">
        <f>F7+F8</f>
        <v>185000</v>
      </c>
      <c r="G6" s="9">
        <f>G7+G8</f>
        <v>37570.420000000013</v>
      </c>
      <c r="H6" s="5">
        <f t="shared" si="4"/>
        <v>0</v>
      </c>
      <c r="I6" s="9">
        <f t="shared" si="4"/>
        <v>0</v>
      </c>
      <c r="J6" s="9">
        <f t="shared" si="4"/>
        <v>0</v>
      </c>
      <c r="K6" s="5">
        <f>K7+K8</f>
        <v>143500</v>
      </c>
      <c r="L6" s="9">
        <f t="shared" ref="L6:M6" si="5">L7+L8</f>
        <v>143500</v>
      </c>
      <c r="M6" s="9">
        <f t="shared" si="5"/>
        <v>0</v>
      </c>
      <c r="N6" s="5">
        <f>N7+N8</f>
        <v>1581929.58</v>
      </c>
      <c r="O6" s="5">
        <f>O7+O8</f>
        <v>1619500</v>
      </c>
      <c r="P6" s="1"/>
    </row>
    <row r="7" spans="1:16" ht="30" x14ac:dyDescent="0.25">
      <c r="A7" s="7" t="s">
        <v>14</v>
      </c>
      <c r="B7" s="5">
        <v>1173996.8700000001</v>
      </c>
      <c r="C7" s="14">
        <f>1071000+220000</f>
        <v>1291000</v>
      </c>
      <c r="D7" s="9">
        <f t="shared" si="1"/>
        <v>117003.12999999989</v>
      </c>
      <c r="E7" s="5">
        <v>147429.57999999999</v>
      </c>
      <c r="F7" s="15">
        <f>159000+50000+550000-574000</f>
        <v>185000</v>
      </c>
      <c r="G7" s="9">
        <f>F7-E7</f>
        <v>37570.420000000013</v>
      </c>
      <c r="H7" s="5">
        <v>0</v>
      </c>
      <c r="I7" s="9"/>
      <c r="J7" s="9">
        <f>I7-H7</f>
        <v>0</v>
      </c>
      <c r="K7" s="5">
        <v>143500</v>
      </c>
      <c r="L7" s="17">
        <f>63500+80000</f>
        <v>143500</v>
      </c>
      <c r="M7" s="9">
        <f>L7-K7</f>
        <v>0</v>
      </c>
      <c r="N7" s="5">
        <f>B7+E7+H7+K7</f>
        <v>1464926.4500000002</v>
      </c>
      <c r="O7" s="5">
        <f>C7+F7+I7+L7</f>
        <v>1619500</v>
      </c>
      <c r="P7" s="1"/>
    </row>
    <row r="8" spans="1:16" x14ac:dyDescent="0.25">
      <c r="A8" s="7" t="s">
        <v>15</v>
      </c>
      <c r="B8" s="5">
        <v>117003.13</v>
      </c>
      <c r="C8" s="9">
        <v>0</v>
      </c>
      <c r="D8" s="9">
        <f t="shared" si="1"/>
        <v>-117003.13</v>
      </c>
      <c r="E8" s="5">
        <v>0</v>
      </c>
      <c r="F8" s="9">
        <v>0</v>
      </c>
      <c r="G8" s="9">
        <f t="shared" ref="G8:G9" si="6">F8-E8</f>
        <v>0</v>
      </c>
      <c r="H8" s="5">
        <v>0</v>
      </c>
      <c r="I8" s="9"/>
      <c r="J8" s="9">
        <f>I8-H8</f>
        <v>0</v>
      </c>
      <c r="K8" s="5"/>
      <c r="L8" s="9"/>
      <c r="M8" s="9">
        <f>L8-K8</f>
        <v>0</v>
      </c>
      <c r="N8" s="5">
        <f>B8+E8+H8</f>
        <v>117003.13</v>
      </c>
      <c r="O8" s="5">
        <f>C8+F8+I8</f>
        <v>0</v>
      </c>
      <c r="P8" s="1"/>
    </row>
    <row r="9" spans="1:16" ht="17.25" customHeight="1" x14ac:dyDescent="0.25">
      <c r="A9" s="6" t="s">
        <v>16</v>
      </c>
      <c r="B9" s="5">
        <v>4313125</v>
      </c>
      <c r="C9" s="9">
        <f>3623125+690000</f>
        <v>4313125</v>
      </c>
      <c r="D9" s="9">
        <f t="shared" si="1"/>
        <v>0</v>
      </c>
      <c r="E9" s="5">
        <v>362979.32</v>
      </c>
      <c r="F9" s="15">
        <f>405786+115789-151968</f>
        <v>369607</v>
      </c>
      <c r="G9" s="9">
        <f t="shared" si="6"/>
        <v>6627.679999999993</v>
      </c>
      <c r="H9" s="5">
        <v>159813</v>
      </c>
      <c r="I9" s="9">
        <v>159813</v>
      </c>
      <c r="J9" s="9">
        <f>I9-H9</f>
        <v>0</v>
      </c>
      <c r="K9" s="5">
        <v>1018502</v>
      </c>
      <c r="L9" s="17">
        <f>998502+20000</f>
        <v>1018502</v>
      </c>
      <c r="M9" s="9">
        <f>L9-K9</f>
        <v>0</v>
      </c>
      <c r="N9" s="5">
        <f>B9+E9+H9+K9</f>
        <v>5854419.3200000003</v>
      </c>
      <c r="O9" s="5">
        <f>C9+F9+I9+L9</f>
        <v>5861047</v>
      </c>
      <c r="P9" s="1"/>
    </row>
    <row r="10" spans="1:16" x14ac:dyDescent="0.25">
      <c r="A10" s="8" t="s">
        <v>17</v>
      </c>
      <c r="B10" s="9">
        <f>(B3+B6)*0.25</f>
        <v>4313125</v>
      </c>
      <c r="C10" s="9">
        <f>(C3+C6)*0.25</f>
        <v>4313125</v>
      </c>
      <c r="D10" s="9">
        <f t="shared" si="1"/>
        <v>0</v>
      </c>
      <c r="E10" s="9">
        <f t="shared" ref="E10:O10" si="7">(E3+E6)*0.25</f>
        <v>465163.39500000002</v>
      </c>
      <c r="F10" s="9">
        <f t="shared" si="7"/>
        <v>473018.75</v>
      </c>
      <c r="G10" s="9">
        <f t="shared" si="7"/>
        <v>7855.3550000000032</v>
      </c>
      <c r="H10" s="9">
        <f t="shared" si="7"/>
        <v>159812.75</v>
      </c>
      <c r="I10" s="9">
        <f t="shared" si="7"/>
        <v>159812.75</v>
      </c>
      <c r="J10" s="9">
        <f t="shared" si="7"/>
        <v>0</v>
      </c>
      <c r="K10" s="9">
        <f t="shared" si="7"/>
        <v>1018502.25</v>
      </c>
      <c r="L10" s="9">
        <f t="shared" si="7"/>
        <v>1018502.25</v>
      </c>
      <c r="M10" s="9">
        <f t="shared" si="7"/>
        <v>0</v>
      </c>
      <c r="N10" s="9">
        <f t="shared" si="7"/>
        <v>5956603.3949999996</v>
      </c>
      <c r="O10" s="9">
        <f t="shared" si="7"/>
        <v>5964458.75</v>
      </c>
      <c r="P10" s="1"/>
    </row>
    <row r="11" spans="1:16" x14ac:dyDescent="0.25">
      <c r="A11" s="8" t="s">
        <v>18</v>
      </c>
      <c r="B11" s="10">
        <f>B9/(B3+B6)</f>
        <v>0.25</v>
      </c>
      <c r="C11" s="10">
        <f>C9/(C3+C6)</f>
        <v>0.25</v>
      </c>
      <c r="D11" s="9">
        <f t="shared" si="1"/>
        <v>0</v>
      </c>
      <c r="E11" s="10">
        <f t="shared" ref="E11:O11" si="8">E9/(E3+E6)</f>
        <v>0.19508162287791367</v>
      </c>
      <c r="F11" s="10">
        <f t="shared" si="8"/>
        <v>0.19534479341463737</v>
      </c>
      <c r="G11" s="10">
        <f t="shared" si="8"/>
        <v>0.21092872314491168</v>
      </c>
      <c r="H11" s="10">
        <f t="shared" si="8"/>
        <v>0.25000039108268896</v>
      </c>
      <c r="I11" s="10">
        <f t="shared" si="8"/>
        <v>0.25000039108268896</v>
      </c>
      <c r="J11" s="10" t="e">
        <f t="shared" si="8"/>
        <v>#DIV/0!</v>
      </c>
      <c r="K11" s="10">
        <f t="shared" si="8"/>
        <v>0.24999993863538347</v>
      </c>
      <c r="L11" s="10">
        <f t="shared" si="8"/>
        <v>0.24999993863538347</v>
      </c>
      <c r="M11" s="10" t="e">
        <f t="shared" si="8"/>
        <v>#DIV/0!</v>
      </c>
      <c r="N11" s="10">
        <f t="shared" si="8"/>
        <v>0.24571131111877564</v>
      </c>
      <c r="O11" s="10">
        <f t="shared" si="8"/>
        <v>0.24566550150086963</v>
      </c>
      <c r="P11" s="1"/>
    </row>
    <row r="12" spans="1:16" x14ac:dyDescent="0.25">
      <c r="A12" s="6" t="s">
        <v>19</v>
      </c>
      <c r="B12" s="5">
        <f>B3+B4+B6+B9</f>
        <v>22138625</v>
      </c>
      <c r="C12" s="9">
        <f>C3+C4+C6+C9</f>
        <v>22138625</v>
      </c>
      <c r="D12" s="9">
        <f>C12-B12</f>
        <v>0</v>
      </c>
      <c r="E12" s="5">
        <f>E3+E4+E6+E9</f>
        <v>2223632.9</v>
      </c>
      <c r="F12" s="5">
        <f>F3+F4+F9+F6</f>
        <v>2261682</v>
      </c>
      <c r="G12" s="5">
        <f>F12-E12</f>
        <v>38049.100000000093</v>
      </c>
      <c r="H12" s="5">
        <f>H3+H4+H6+H9</f>
        <v>799064</v>
      </c>
      <c r="I12" s="9">
        <f t="shared" ref="I12:J12" si="9">I3+I4+I6+I9</f>
        <v>799064</v>
      </c>
      <c r="J12" s="9">
        <f t="shared" si="9"/>
        <v>0</v>
      </c>
      <c r="K12" s="5">
        <f>K3+K4+K6+K9</f>
        <v>5092511</v>
      </c>
      <c r="L12" s="9">
        <f t="shared" ref="L12:M12" si="10">L3+L4+L6+L9</f>
        <v>5092511</v>
      </c>
      <c r="M12" s="9">
        <f t="shared" si="10"/>
        <v>0</v>
      </c>
      <c r="N12" s="5">
        <f>N3+N4+N6+N9</f>
        <v>30253832.899999999</v>
      </c>
      <c r="O12" s="5">
        <f>O3+O4+O6+O9</f>
        <v>30291882</v>
      </c>
      <c r="P12" s="1"/>
    </row>
    <row r="13" spans="1:16" x14ac:dyDescent="0.25">
      <c r="A13" s="6"/>
      <c r="B13" s="5"/>
      <c r="C13" s="9"/>
      <c r="D13" s="9">
        <f t="shared" si="1"/>
        <v>0</v>
      </c>
      <c r="E13" s="5"/>
      <c r="F13" s="9"/>
      <c r="G13" s="9">
        <v>0</v>
      </c>
      <c r="H13" s="5"/>
      <c r="I13" s="9"/>
      <c r="J13" s="9"/>
      <c r="K13" s="5"/>
      <c r="L13" s="9"/>
      <c r="M13" s="9"/>
      <c r="N13" s="5"/>
      <c r="O13" s="9"/>
      <c r="P13" s="1"/>
    </row>
    <row r="14" spans="1:16" ht="30" x14ac:dyDescent="0.25">
      <c r="A14" s="6" t="s">
        <v>36</v>
      </c>
      <c r="B14" s="5">
        <v>22138625</v>
      </c>
      <c r="C14" s="9">
        <f>C12</f>
        <v>22138625</v>
      </c>
      <c r="D14" s="9">
        <f t="shared" si="1"/>
        <v>0</v>
      </c>
      <c r="E14" s="5">
        <v>2261682</v>
      </c>
      <c r="F14" s="9">
        <f>F12</f>
        <v>2261682</v>
      </c>
      <c r="G14" s="9">
        <v>0</v>
      </c>
      <c r="H14" s="5">
        <v>799064</v>
      </c>
      <c r="I14" s="9">
        <f>I12</f>
        <v>799064</v>
      </c>
      <c r="J14" s="9"/>
      <c r="K14" s="5">
        <f>L12</f>
        <v>5092511</v>
      </c>
      <c r="L14" s="9">
        <f>L12</f>
        <v>5092511</v>
      </c>
      <c r="M14" s="9"/>
      <c r="N14" s="5">
        <f>O12</f>
        <v>30291882</v>
      </c>
      <c r="O14" s="5">
        <f>C14+F14+I14</f>
        <v>25199371</v>
      </c>
      <c r="P14" s="1"/>
    </row>
    <row r="15" spans="1:16" ht="45" x14ac:dyDescent="0.25">
      <c r="A15" s="6" t="s">
        <v>37</v>
      </c>
      <c r="B15" s="5">
        <v>0</v>
      </c>
      <c r="C15" s="9"/>
      <c r="D15" s="9">
        <f t="shared" si="1"/>
        <v>0</v>
      </c>
      <c r="E15" s="5">
        <v>80778.5</v>
      </c>
      <c r="F15" s="9"/>
      <c r="G15" s="9">
        <v>0</v>
      </c>
      <c r="H15" s="5">
        <v>0</v>
      </c>
      <c r="I15" s="9"/>
      <c r="J15" s="9"/>
      <c r="K15" s="5"/>
      <c r="L15" s="9"/>
      <c r="M15" s="9"/>
      <c r="N15" s="5">
        <f>B15+E15+H15</f>
        <v>80778.5</v>
      </c>
      <c r="O15" s="5">
        <f>C15+F15+I15</f>
        <v>0</v>
      </c>
      <c r="P15" s="1"/>
    </row>
    <row r="16" spans="1:16" ht="60" x14ac:dyDescent="0.25">
      <c r="A16" s="6" t="s">
        <v>38</v>
      </c>
      <c r="B16" s="5">
        <v>0</v>
      </c>
      <c r="C16" s="9"/>
      <c r="D16" s="9">
        <f t="shared" si="1"/>
        <v>0</v>
      </c>
      <c r="E16" s="5">
        <v>42729.4</v>
      </c>
      <c r="F16" s="9"/>
      <c r="G16" s="9">
        <v>0</v>
      </c>
      <c r="H16" s="5">
        <v>0</v>
      </c>
      <c r="I16" s="9"/>
      <c r="J16" s="9"/>
      <c r="K16" s="5">
        <v>0</v>
      </c>
      <c r="L16" s="9"/>
      <c r="M16" s="9"/>
      <c r="N16" s="5">
        <f>B16+E16+H16</f>
        <v>42729.4</v>
      </c>
      <c r="O16" s="5">
        <f>C16+F16+I16</f>
        <v>0</v>
      </c>
      <c r="P16" s="1"/>
    </row>
    <row r="17" spans="1:16" ht="30" x14ac:dyDescent="0.25">
      <c r="A17" s="6" t="s">
        <v>39</v>
      </c>
      <c r="B17" s="5">
        <v>0</v>
      </c>
      <c r="C17" s="9"/>
      <c r="D17" s="9">
        <f t="shared" si="1"/>
        <v>0</v>
      </c>
      <c r="E17" s="5">
        <v>0</v>
      </c>
      <c r="F17" s="9"/>
      <c r="G17" s="9">
        <v>0</v>
      </c>
      <c r="H17" s="5">
        <v>0</v>
      </c>
      <c r="I17" s="9"/>
      <c r="J17" s="9"/>
      <c r="K17" s="5">
        <v>0</v>
      </c>
      <c r="L17" s="9"/>
      <c r="M17" s="9"/>
      <c r="N17" s="5">
        <v>0</v>
      </c>
      <c r="O17" s="9"/>
      <c r="P17" s="1"/>
    </row>
    <row r="18" spans="1:16" x14ac:dyDescent="0.25">
      <c r="B18" s="1"/>
      <c r="C18" s="1"/>
      <c r="D18" s="1"/>
      <c r="E18" s="1"/>
      <c r="F18" s="12"/>
      <c r="G18" s="12"/>
      <c r="H18" s="1"/>
      <c r="I18" s="12"/>
      <c r="J18" s="12"/>
      <c r="K18" s="1"/>
      <c r="L18" s="12"/>
      <c r="M18" s="12"/>
      <c r="N18" s="1"/>
      <c r="O18" s="1"/>
      <c r="P18" s="1"/>
    </row>
    <row r="19" spans="1:16" x14ac:dyDescent="0.25">
      <c r="B19" s="1"/>
      <c r="C19" s="1"/>
      <c r="D19" s="1"/>
      <c r="E19" s="1">
        <f>E16-E15</f>
        <v>-38049.1</v>
      </c>
      <c r="F19" s="1"/>
      <c r="G19" s="1"/>
      <c r="H19" s="1">
        <f>H16-H15</f>
        <v>0</v>
      </c>
      <c r="I19" s="1"/>
      <c r="J19" s="1"/>
      <c r="K19" s="1">
        <f>K16-K15</f>
        <v>0</v>
      </c>
      <c r="L19" s="12"/>
      <c r="M19" s="12"/>
      <c r="N19" s="1">
        <f>N16-N15</f>
        <v>-38049.1</v>
      </c>
      <c r="O19" s="1"/>
      <c r="P19" s="1"/>
    </row>
    <row r="20" spans="1:16" x14ac:dyDescent="0.25">
      <c r="B20" s="22"/>
      <c r="C20" s="22">
        <v>44987</v>
      </c>
      <c r="D20" s="22">
        <v>45135</v>
      </c>
      <c r="E20" s="22">
        <v>44991</v>
      </c>
      <c r="F20" s="22"/>
      <c r="G20" s="22"/>
      <c r="H20" s="22">
        <v>44991</v>
      </c>
      <c r="I20" s="22"/>
      <c r="J20" s="22"/>
      <c r="K20" s="22">
        <v>44991</v>
      </c>
      <c r="L20" s="22"/>
      <c r="M20" s="22"/>
      <c r="N20" s="22"/>
      <c r="O20" s="22"/>
      <c r="P20" s="1"/>
    </row>
    <row r="21" spans="1:16" x14ac:dyDescent="0.25">
      <c r="A21" t="s">
        <v>40</v>
      </c>
      <c r="B21" s="1">
        <f>C21+D21</f>
        <v>22138625</v>
      </c>
      <c r="C21" s="1">
        <v>18438625</v>
      </c>
      <c r="D21" s="1">
        <v>3700000</v>
      </c>
      <c r="E21" s="1">
        <v>3191380</v>
      </c>
      <c r="F21" s="1"/>
      <c r="G21" s="1"/>
      <c r="H21" s="1">
        <v>799064</v>
      </c>
      <c r="I21" s="1"/>
      <c r="J21" s="1"/>
      <c r="K21" s="1">
        <v>5092511</v>
      </c>
      <c r="L21" s="1"/>
      <c r="M21" s="1"/>
      <c r="N21" s="1">
        <f>B21+E21+H21+K21</f>
        <v>31221580</v>
      </c>
      <c r="O21" s="1"/>
    </row>
    <row r="22" spans="1:16" x14ac:dyDescent="0.25">
      <c r="E22" s="24">
        <f>E21-F12</f>
        <v>929698</v>
      </c>
    </row>
    <row r="23" spans="1:16" x14ac:dyDescent="0.25">
      <c r="E23" s="25" t="s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5"/>
  <sheetViews>
    <sheetView workbookViewId="0">
      <selection activeCell="N12" sqref="N12"/>
    </sheetView>
  </sheetViews>
  <sheetFormatPr defaultRowHeight="15" x14ac:dyDescent="0.25"/>
  <cols>
    <col min="1" max="1" width="26.42578125" customWidth="1"/>
    <col min="2" max="2" width="16.42578125" bestFit="1" customWidth="1"/>
    <col min="3" max="4" width="16.42578125" customWidth="1"/>
    <col min="5" max="5" width="16.7109375" customWidth="1"/>
    <col min="6" max="13" width="16.28515625" bestFit="1" customWidth="1"/>
    <col min="14" max="15" width="16.42578125" bestFit="1" customWidth="1"/>
  </cols>
  <sheetData>
    <row r="1" spans="1:16" x14ac:dyDescent="0.25">
      <c r="A1" s="2" t="s">
        <v>0</v>
      </c>
      <c r="K1" s="13"/>
      <c r="L1" s="13"/>
      <c r="M1" s="13"/>
    </row>
    <row r="2" spans="1:16" x14ac:dyDescent="0.25">
      <c r="A2" s="3" t="s">
        <v>1</v>
      </c>
      <c r="B2" s="18" t="s">
        <v>32</v>
      </c>
      <c r="C2" s="16" t="s">
        <v>33</v>
      </c>
      <c r="D2" s="11" t="s">
        <v>4</v>
      </c>
      <c r="E2" s="4" t="s">
        <v>5</v>
      </c>
      <c r="F2" s="11" t="s">
        <v>42</v>
      </c>
      <c r="G2" s="11" t="s">
        <v>4</v>
      </c>
      <c r="H2" s="4" t="s">
        <v>6</v>
      </c>
      <c r="I2" s="11" t="s">
        <v>3</v>
      </c>
      <c r="J2" s="11" t="s">
        <v>4</v>
      </c>
      <c r="K2" s="4" t="s">
        <v>7</v>
      </c>
      <c r="L2" s="11" t="s">
        <v>3</v>
      </c>
      <c r="M2" s="11" t="s">
        <v>4</v>
      </c>
      <c r="N2" s="4" t="s">
        <v>9</v>
      </c>
      <c r="O2" s="11" t="s">
        <v>3</v>
      </c>
    </row>
    <row r="3" spans="1:16" ht="23.25" customHeight="1" x14ac:dyDescent="0.25">
      <c r="A3" s="6" t="s">
        <v>10</v>
      </c>
      <c r="B3" s="5">
        <v>18417999</v>
      </c>
      <c r="C3" s="14">
        <f>15878000+2540000-1</f>
        <v>18417999</v>
      </c>
      <c r="D3" s="9">
        <f>C3-B3</f>
        <v>0</v>
      </c>
      <c r="E3" s="5">
        <v>2082757</v>
      </c>
      <c r="F3" s="19">
        <f>1872145+203730</f>
        <v>2075875</v>
      </c>
      <c r="G3" s="9">
        <f>F3-E3</f>
        <v>-6882</v>
      </c>
      <c r="H3" s="5">
        <v>660260</v>
      </c>
      <c r="I3" s="9">
        <v>660260</v>
      </c>
      <c r="J3" s="9">
        <f>I3-H3</f>
        <v>0</v>
      </c>
      <c r="K3" s="5">
        <v>4127013</v>
      </c>
      <c r="L3" s="9">
        <v>4075013</v>
      </c>
      <c r="M3" s="9">
        <f>L3-K3</f>
        <v>-52000</v>
      </c>
      <c r="N3" s="5">
        <f>B3+E3+H3+K3</f>
        <v>25288029</v>
      </c>
      <c r="O3" s="5">
        <f>C3+F3+I3+L3</f>
        <v>25229147</v>
      </c>
      <c r="P3" s="1"/>
    </row>
    <row r="4" spans="1:16" ht="90" x14ac:dyDescent="0.25">
      <c r="A4" s="6" t="s">
        <v>11</v>
      </c>
      <c r="B4" s="5">
        <f>B5</f>
        <v>607000</v>
      </c>
      <c r="C4" s="9">
        <f t="shared" ref="C4" si="0">C5</f>
        <v>607000</v>
      </c>
      <c r="D4" s="9">
        <f t="shared" ref="D4:D17" si="1">C4-B4</f>
        <v>0</v>
      </c>
      <c r="E4" s="5">
        <f t="shared" ref="E4:H4" si="2">E5</f>
        <v>0</v>
      </c>
      <c r="F4" s="9">
        <f t="shared" si="2"/>
        <v>0</v>
      </c>
      <c r="G4" s="9">
        <f>G5</f>
        <v>0</v>
      </c>
      <c r="H4" s="5">
        <f t="shared" si="2"/>
        <v>0</v>
      </c>
      <c r="I4" s="9">
        <f>I5</f>
        <v>0</v>
      </c>
      <c r="J4" s="9">
        <f>J5</f>
        <v>0</v>
      </c>
      <c r="K4" s="5">
        <f>K5</f>
        <v>0</v>
      </c>
      <c r="L4" s="9">
        <f t="shared" ref="L4" si="3">L5</f>
        <v>0</v>
      </c>
      <c r="M4" s="9">
        <f>M5</f>
        <v>0</v>
      </c>
      <c r="N4" s="5">
        <f>N5</f>
        <v>607000</v>
      </c>
      <c r="O4" s="9">
        <f>O5</f>
        <v>607000</v>
      </c>
      <c r="P4" s="1"/>
    </row>
    <row r="5" spans="1:16" x14ac:dyDescent="0.25">
      <c r="A5" s="7" t="s">
        <v>12</v>
      </c>
      <c r="B5" s="5">
        <v>607000</v>
      </c>
      <c r="C5" s="14">
        <f>357000+250000</f>
        <v>607000</v>
      </c>
      <c r="D5" s="9">
        <f t="shared" si="1"/>
        <v>0</v>
      </c>
      <c r="E5" s="5">
        <v>0</v>
      </c>
      <c r="F5" s="9">
        <v>0</v>
      </c>
      <c r="G5" s="9">
        <f>F5-E5</f>
        <v>0</v>
      </c>
      <c r="H5" s="5">
        <v>0</v>
      </c>
      <c r="I5" s="9">
        <v>0</v>
      </c>
      <c r="J5" s="9">
        <f>I5-H5</f>
        <v>0</v>
      </c>
      <c r="K5" s="5">
        <v>0</v>
      </c>
      <c r="L5" s="9">
        <v>0</v>
      </c>
      <c r="M5" s="9">
        <f>L5-K5</f>
        <v>0</v>
      </c>
      <c r="N5" s="5">
        <f>B5+E5+H5</f>
        <v>607000</v>
      </c>
      <c r="O5" s="5">
        <f>C5+F5+I5</f>
        <v>607000</v>
      </c>
      <c r="P5" s="1"/>
    </row>
    <row r="6" spans="1:16" ht="90" x14ac:dyDescent="0.25">
      <c r="A6" s="6" t="s">
        <v>13</v>
      </c>
      <c r="B6" s="5">
        <f>B7+B8</f>
        <v>1435500</v>
      </c>
      <c r="C6" s="9">
        <f>C7+C8</f>
        <v>1435500</v>
      </c>
      <c r="D6" s="9">
        <f t="shared" si="1"/>
        <v>0</v>
      </c>
      <c r="E6" s="5">
        <f t="shared" ref="E6:J6" si="4">E7+E8</f>
        <v>745546.8</v>
      </c>
      <c r="F6" s="9">
        <f>F7+F8</f>
        <v>764000</v>
      </c>
      <c r="G6" s="9">
        <f>G7+G8</f>
        <v>18453.199999999953</v>
      </c>
      <c r="H6" s="5">
        <f t="shared" si="4"/>
        <v>0</v>
      </c>
      <c r="I6" s="9">
        <f t="shared" si="4"/>
        <v>0</v>
      </c>
      <c r="J6" s="9">
        <f t="shared" si="4"/>
        <v>0</v>
      </c>
      <c r="K6" s="5">
        <f>K7+K8</f>
        <v>0</v>
      </c>
      <c r="L6" s="9">
        <f t="shared" ref="L6:M6" si="5">L7+L8</f>
        <v>52000</v>
      </c>
      <c r="M6" s="9">
        <f t="shared" si="5"/>
        <v>52000</v>
      </c>
      <c r="N6" s="5">
        <f>N7+N8</f>
        <v>2181046.8000000003</v>
      </c>
      <c r="O6" s="5">
        <f>O7+O8</f>
        <v>2251500</v>
      </c>
      <c r="P6" s="1"/>
    </row>
    <row r="7" spans="1:16" ht="30" x14ac:dyDescent="0.25">
      <c r="A7" s="7" t="s">
        <v>14</v>
      </c>
      <c r="B7" s="5">
        <v>1354778.85</v>
      </c>
      <c r="C7" s="14">
        <f>1215500+220000</f>
        <v>1435500</v>
      </c>
      <c r="D7" s="9">
        <f t="shared" si="1"/>
        <v>80721.149999999907</v>
      </c>
      <c r="E7" s="5">
        <v>740910.3</v>
      </c>
      <c r="F7" s="19">
        <f>190000+574000</f>
        <v>764000</v>
      </c>
      <c r="G7" s="9">
        <f>F7-E7</f>
        <v>23089.699999999953</v>
      </c>
      <c r="H7" s="5">
        <v>0</v>
      </c>
      <c r="I7" s="9"/>
      <c r="J7" s="9">
        <f>I7-H7</f>
        <v>0</v>
      </c>
      <c r="K7" s="5">
        <v>0</v>
      </c>
      <c r="L7" s="9">
        <v>52000</v>
      </c>
      <c r="M7" s="9">
        <f>L7-K7</f>
        <v>52000</v>
      </c>
      <c r="N7" s="5">
        <f>B7+E7+H7+K7</f>
        <v>2095689.1500000001</v>
      </c>
      <c r="O7" s="5">
        <f>C7+F7+I7+L7</f>
        <v>2251500</v>
      </c>
      <c r="P7" s="1"/>
    </row>
    <row r="8" spans="1:16" x14ac:dyDescent="0.25">
      <c r="A8" s="7" t="s">
        <v>15</v>
      </c>
      <c r="B8" s="5">
        <v>80721.149999999994</v>
      </c>
      <c r="C8" s="9">
        <v>0</v>
      </c>
      <c r="D8" s="9">
        <f t="shared" si="1"/>
        <v>-80721.149999999994</v>
      </c>
      <c r="E8" s="5">
        <v>4636.5</v>
      </c>
      <c r="F8" s="9">
        <v>0</v>
      </c>
      <c r="G8" s="9">
        <f t="shared" ref="G8:G9" si="6">F8-E8</f>
        <v>-4636.5</v>
      </c>
      <c r="H8" s="5">
        <v>0</v>
      </c>
      <c r="I8" s="9"/>
      <c r="J8" s="9">
        <f>I8-H8</f>
        <v>0</v>
      </c>
      <c r="K8" s="5"/>
      <c r="L8" s="9"/>
      <c r="M8" s="9">
        <f>L8-K8</f>
        <v>0</v>
      </c>
      <c r="N8" s="5">
        <f>B8+E8+H8</f>
        <v>85357.65</v>
      </c>
      <c r="O8" s="5">
        <f>C8+F8+I8</f>
        <v>0</v>
      </c>
      <c r="P8" s="1"/>
    </row>
    <row r="9" spans="1:16" ht="19.5" customHeight="1" x14ac:dyDescent="0.25">
      <c r="A9" s="6" t="s">
        <v>16</v>
      </c>
      <c r="B9" s="5">
        <v>4963375</v>
      </c>
      <c r="C9" s="14">
        <f>4273375+690000</f>
        <v>4963375</v>
      </c>
      <c r="D9" s="9">
        <f t="shared" si="1"/>
        <v>0</v>
      </c>
      <c r="E9" s="5">
        <v>562944.03</v>
      </c>
      <c r="F9" s="19">
        <f>413536+151968</f>
        <v>565504</v>
      </c>
      <c r="G9" s="9">
        <f t="shared" si="6"/>
        <v>2559.9699999999721</v>
      </c>
      <c r="H9" s="5">
        <v>165065</v>
      </c>
      <c r="I9" s="9">
        <v>165065</v>
      </c>
      <c r="J9" s="9">
        <f>I9-H9</f>
        <v>0</v>
      </c>
      <c r="K9" s="5">
        <v>1031753</v>
      </c>
      <c r="L9" s="9">
        <v>1031753</v>
      </c>
      <c r="M9" s="9">
        <f>L9-K9</f>
        <v>0</v>
      </c>
      <c r="N9" s="5">
        <f>B9+E9+H9+K9</f>
        <v>6723137.0300000003</v>
      </c>
      <c r="O9" s="5">
        <f>C9+F9+I9+L9</f>
        <v>6725697</v>
      </c>
      <c r="P9" s="1"/>
    </row>
    <row r="10" spans="1:16" x14ac:dyDescent="0.25">
      <c r="A10" s="8" t="s">
        <v>17</v>
      </c>
      <c r="B10" s="9">
        <f>(B3+B6)*0.25</f>
        <v>4963374.75</v>
      </c>
      <c r="C10" s="9">
        <f>(C3+C6)*0.25</f>
        <v>4963374.75</v>
      </c>
      <c r="D10" s="9">
        <f t="shared" si="1"/>
        <v>0</v>
      </c>
      <c r="E10" s="9">
        <f t="shared" ref="E10:O10" si="7">(E3+E6)*0.25</f>
        <v>707075.95</v>
      </c>
      <c r="F10" s="9">
        <f t="shared" si="7"/>
        <v>709968.75</v>
      </c>
      <c r="G10" s="9">
        <f t="shared" si="7"/>
        <v>2892.7999999999884</v>
      </c>
      <c r="H10" s="9">
        <f t="shared" si="7"/>
        <v>165065</v>
      </c>
      <c r="I10" s="9">
        <f t="shared" si="7"/>
        <v>165065</v>
      </c>
      <c r="J10" s="9">
        <f t="shared" si="7"/>
        <v>0</v>
      </c>
      <c r="K10" s="9">
        <f t="shared" si="7"/>
        <v>1031753.25</v>
      </c>
      <c r="L10" s="9">
        <f t="shared" si="7"/>
        <v>1031753.25</v>
      </c>
      <c r="M10" s="9">
        <f t="shared" si="7"/>
        <v>0</v>
      </c>
      <c r="N10" s="9">
        <f t="shared" si="7"/>
        <v>6867268.9500000002</v>
      </c>
      <c r="O10" s="9">
        <f t="shared" si="7"/>
        <v>6870161.75</v>
      </c>
      <c r="P10" s="1"/>
    </row>
    <row r="11" spans="1:16" x14ac:dyDescent="0.25">
      <c r="A11" s="8" t="s">
        <v>18</v>
      </c>
      <c r="B11" s="10">
        <f>B9/(B3+B6)</f>
        <v>0.25000001259223875</v>
      </c>
      <c r="C11" s="10">
        <f>C9/(C3+C6)</f>
        <v>0.25000001259223875</v>
      </c>
      <c r="D11" s="9">
        <f t="shared" si="1"/>
        <v>0</v>
      </c>
      <c r="E11" s="10">
        <f t="shared" ref="E11:O11" si="8">E9/(E3+E6)</f>
        <v>0.19903944901534271</v>
      </c>
      <c r="F11" s="10">
        <f t="shared" si="8"/>
        <v>0.19912989128042607</v>
      </c>
      <c r="G11" s="10">
        <f t="shared" si="8"/>
        <v>0.22123634540929052</v>
      </c>
      <c r="H11" s="10">
        <f t="shared" si="8"/>
        <v>0.25</v>
      </c>
      <c r="I11" s="10">
        <f t="shared" si="8"/>
        <v>0.25</v>
      </c>
      <c r="J11" s="10" t="e">
        <f t="shared" si="8"/>
        <v>#DIV/0!</v>
      </c>
      <c r="K11" s="10">
        <f t="shared" si="8"/>
        <v>0.24999993942350074</v>
      </c>
      <c r="L11" s="10">
        <f t="shared" si="8"/>
        <v>0.24999993942350074</v>
      </c>
      <c r="M11" s="10" t="e">
        <f t="shared" si="8"/>
        <v>#DIV/0!</v>
      </c>
      <c r="N11" s="10">
        <f t="shared" si="8"/>
        <v>0.24475293886662178</v>
      </c>
      <c r="O11" s="10">
        <f t="shared" si="8"/>
        <v>0.24474303679967943</v>
      </c>
      <c r="P11" s="1"/>
    </row>
    <row r="12" spans="1:16" x14ac:dyDescent="0.25">
      <c r="A12" s="6" t="s">
        <v>19</v>
      </c>
      <c r="B12" s="5">
        <f>B3+B4+B6+B9</f>
        <v>25423874</v>
      </c>
      <c r="C12" s="9">
        <f>C3+C4+C6+C9</f>
        <v>25423874</v>
      </c>
      <c r="D12" s="9">
        <f t="shared" si="1"/>
        <v>0</v>
      </c>
      <c r="E12" s="5">
        <f>E3+E4+E6+E9</f>
        <v>3391247.83</v>
      </c>
      <c r="F12" s="5">
        <f>F3+F4+F6+F9</f>
        <v>3405379</v>
      </c>
      <c r="G12" s="9">
        <f>F12-E12</f>
        <v>14131.169999999925</v>
      </c>
      <c r="H12" s="5">
        <f>H3+H4+H6+H9</f>
        <v>825325</v>
      </c>
      <c r="I12" s="9">
        <f t="shared" ref="I12:J12" si="9">I3+I4+I6+I9</f>
        <v>825325</v>
      </c>
      <c r="J12" s="9">
        <f t="shared" si="9"/>
        <v>0</v>
      </c>
      <c r="K12" s="5">
        <f>K3+K4+K6+K9</f>
        <v>5158766</v>
      </c>
      <c r="L12" s="9">
        <f t="shared" ref="L12:M12" si="10">L3+L4+L6+L9</f>
        <v>5158766</v>
      </c>
      <c r="M12" s="9">
        <f t="shared" si="10"/>
        <v>0</v>
      </c>
      <c r="N12" s="5">
        <f>N3+N4+N6+N9</f>
        <v>34799212.829999998</v>
      </c>
      <c r="O12" s="5">
        <f>O3+O4+O6+O9</f>
        <v>34813344</v>
      </c>
      <c r="P12" s="1"/>
    </row>
    <row r="13" spans="1:16" x14ac:dyDescent="0.25">
      <c r="A13" s="6"/>
      <c r="B13" s="5"/>
      <c r="C13" s="9"/>
      <c r="D13" s="9">
        <f t="shared" si="1"/>
        <v>0</v>
      </c>
      <c r="E13" s="5"/>
      <c r="F13" s="9"/>
      <c r="G13" s="9">
        <v>0</v>
      </c>
      <c r="H13" s="5"/>
      <c r="I13" s="9"/>
      <c r="J13" s="9"/>
      <c r="K13" s="5"/>
      <c r="L13" s="9"/>
      <c r="M13" s="9"/>
      <c r="N13" s="5"/>
      <c r="O13" s="9"/>
      <c r="P13" s="1"/>
    </row>
    <row r="14" spans="1:16" ht="30" x14ac:dyDescent="0.25">
      <c r="A14" s="6" t="s">
        <v>43</v>
      </c>
      <c r="B14" s="5">
        <v>25423874</v>
      </c>
      <c r="C14" s="9">
        <f>C12</f>
        <v>25423874</v>
      </c>
      <c r="D14" s="9">
        <f t="shared" si="1"/>
        <v>0</v>
      </c>
      <c r="E14" s="5">
        <f>F12</f>
        <v>3405379</v>
      </c>
      <c r="F14" s="9">
        <f>F12</f>
        <v>3405379</v>
      </c>
      <c r="G14" s="9">
        <v>0</v>
      </c>
      <c r="H14" s="5">
        <f>I12</f>
        <v>825325</v>
      </c>
      <c r="I14" s="9">
        <f>I12</f>
        <v>825325</v>
      </c>
      <c r="J14" s="9"/>
      <c r="K14" s="5">
        <f>L12</f>
        <v>5158766</v>
      </c>
      <c r="L14" s="9">
        <f>L12</f>
        <v>5158766</v>
      </c>
      <c r="M14" s="9"/>
      <c r="N14" s="5">
        <f>B14+E14+H14+K14</f>
        <v>34813344</v>
      </c>
      <c r="O14" s="5">
        <f>C14+F14+I14+L14</f>
        <v>34813344</v>
      </c>
      <c r="P14" s="1"/>
    </row>
    <row r="15" spans="1:16" ht="60" x14ac:dyDescent="0.25">
      <c r="A15" s="6" t="s">
        <v>44</v>
      </c>
      <c r="B15" s="5">
        <v>0</v>
      </c>
      <c r="C15" s="9"/>
      <c r="D15" s="9">
        <f t="shared" si="1"/>
        <v>0</v>
      </c>
      <c r="E15" s="5">
        <v>0</v>
      </c>
      <c r="F15" s="9"/>
      <c r="G15" s="9">
        <v>0</v>
      </c>
      <c r="H15" s="5">
        <v>0</v>
      </c>
      <c r="I15" s="9"/>
      <c r="J15" s="9"/>
      <c r="K15" s="5">
        <v>0</v>
      </c>
      <c r="L15" s="9"/>
      <c r="M15" s="9"/>
      <c r="N15" s="5">
        <f>B15+E15+H15+K15</f>
        <v>0</v>
      </c>
      <c r="O15" s="5">
        <f>C15+F15+I15+L15</f>
        <v>0</v>
      </c>
      <c r="P15" s="1"/>
    </row>
    <row r="16" spans="1:16" ht="60" x14ac:dyDescent="0.25">
      <c r="A16" s="6" t="s">
        <v>45</v>
      </c>
      <c r="B16" s="5">
        <v>0</v>
      </c>
      <c r="C16" s="9"/>
      <c r="D16" s="9">
        <f t="shared" si="1"/>
        <v>0</v>
      </c>
      <c r="E16" s="5">
        <v>80778.5</v>
      </c>
      <c r="F16" s="9"/>
      <c r="G16" s="9">
        <v>0</v>
      </c>
      <c r="H16" s="5">
        <v>0</v>
      </c>
      <c r="I16" s="9"/>
      <c r="J16" s="9"/>
      <c r="K16" s="5">
        <v>0</v>
      </c>
      <c r="L16" s="9"/>
      <c r="M16" s="9"/>
      <c r="N16" s="5">
        <f t="shared" ref="N16:N17" si="11">B16+E16+H16+K16</f>
        <v>80778.5</v>
      </c>
      <c r="O16" s="5">
        <f t="shared" ref="O16:O17" si="12">C16+F16+I16+L16</f>
        <v>0</v>
      </c>
      <c r="P16" s="1"/>
    </row>
    <row r="17" spans="1:16" ht="30" x14ac:dyDescent="0.25">
      <c r="A17" s="6" t="s">
        <v>46</v>
      </c>
      <c r="B17" s="5">
        <v>0</v>
      </c>
      <c r="C17" s="9"/>
      <c r="D17" s="9">
        <f t="shared" si="1"/>
        <v>0</v>
      </c>
      <c r="E17" s="5">
        <f>E16+G12</f>
        <v>94909.669999999925</v>
      </c>
      <c r="F17" s="9"/>
      <c r="G17" s="9">
        <v>0</v>
      </c>
      <c r="H17" s="5">
        <v>0</v>
      </c>
      <c r="I17" s="9"/>
      <c r="J17" s="9"/>
      <c r="K17" s="5">
        <v>0</v>
      </c>
      <c r="L17" s="9"/>
      <c r="M17" s="9"/>
      <c r="N17" s="5">
        <f t="shared" si="11"/>
        <v>94909.669999999925</v>
      </c>
      <c r="O17" s="5">
        <f t="shared" si="12"/>
        <v>0</v>
      </c>
      <c r="P17" s="1"/>
    </row>
    <row r="18" spans="1:16" x14ac:dyDescent="0.25">
      <c r="B18" s="1"/>
      <c r="C18" s="1"/>
      <c r="D18" s="1"/>
      <c r="E18" s="1"/>
      <c r="F18" s="12"/>
      <c r="G18" s="12"/>
      <c r="H18" s="1"/>
      <c r="I18" s="12"/>
      <c r="J18" s="12"/>
      <c r="K18" s="1"/>
      <c r="L18" s="12"/>
      <c r="M18" s="12"/>
      <c r="N18" s="1"/>
      <c r="O18" s="1"/>
      <c r="P18" s="1"/>
    </row>
    <row r="19" spans="1:16" x14ac:dyDescent="0.25">
      <c r="B19" s="1"/>
      <c r="C19" s="1"/>
      <c r="D19" s="1"/>
      <c r="E19" s="1">
        <f>E16-E15</f>
        <v>80778.5</v>
      </c>
      <c r="F19" s="1"/>
      <c r="G19" s="1"/>
      <c r="H19" s="1">
        <f>H16-H15</f>
        <v>0</v>
      </c>
      <c r="I19" s="1"/>
      <c r="J19" s="1"/>
      <c r="K19" s="1">
        <f>K16-K15</f>
        <v>0</v>
      </c>
      <c r="L19" s="12"/>
      <c r="M19" s="12"/>
      <c r="N19" s="1">
        <f>N16-N15</f>
        <v>80778.5</v>
      </c>
      <c r="O19" s="1"/>
      <c r="P19" s="1"/>
    </row>
    <row r="20" spans="1:16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B21" s="22">
        <v>45327</v>
      </c>
      <c r="D21" s="22"/>
      <c r="E21" s="22">
        <v>45330</v>
      </c>
      <c r="F21" s="22"/>
      <c r="G21" s="22"/>
      <c r="H21" s="22">
        <v>45330</v>
      </c>
      <c r="I21" s="22"/>
      <c r="J21" s="22"/>
      <c r="K21" s="22">
        <v>45330</v>
      </c>
      <c r="L21" s="22"/>
      <c r="M21" s="22"/>
      <c r="N21" s="22"/>
      <c r="O21" s="22"/>
    </row>
    <row r="22" spans="1:16" x14ac:dyDescent="0.25">
      <c r="A22" t="s">
        <v>40</v>
      </c>
      <c r="B22" s="1">
        <v>25423874</v>
      </c>
      <c r="C22" s="1"/>
      <c r="D22" s="1"/>
      <c r="E22" s="1">
        <v>3405379</v>
      </c>
      <c r="F22" s="1"/>
      <c r="G22" s="1"/>
      <c r="H22" s="1">
        <v>825325</v>
      </c>
      <c r="I22" s="1"/>
      <c r="J22" s="1"/>
      <c r="K22" s="1">
        <v>5158766</v>
      </c>
      <c r="L22" s="1"/>
      <c r="M22" s="1"/>
      <c r="N22" s="1">
        <f>B22+E22+H22+K22</f>
        <v>34813344</v>
      </c>
      <c r="O22" s="1"/>
    </row>
    <row r="23" spans="1:16" x14ac:dyDescent="0.25">
      <c r="E23" s="23"/>
    </row>
    <row r="24" spans="1:16" x14ac:dyDescent="0.25">
      <c r="E24" s="1">
        <f>E22-E17</f>
        <v>3310469.33</v>
      </c>
    </row>
    <row r="25" spans="1:16" x14ac:dyDescent="0.25">
      <c r="E25" s="1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0"/>
  <sheetViews>
    <sheetView tabSelected="1" topLeftCell="A4" zoomScale="80" zoomScaleNormal="80" workbookViewId="0">
      <selection activeCell="E17" sqref="E17"/>
    </sheetView>
  </sheetViews>
  <sheetFormatPr defaultRowHeight="15" x14ac:dyDescent="0.25"/>
  <cols>
    <col min="1" max="1" width="26.42578125" customWidth="1"/>
    <col min="2" max="3" width="17.7109375" bestFit="1" customWidth="1"/>
    <col min="4" max="4" width="16.42578125" customWidth="1"/>
    <col min="5" max="5" width="16.7109375" customWidth="1"/>
    <col min="6" max="9" width="16.28515625" bestFit="1" customWidth="1"/>
    <col min="10" max="10" width="17.42578125" bestFit="1" customWidth="1"/>
    <col min="11" max="12" width="17.7109375" bestFit="1" customWidth="1"/>
    <col min="13" max="13" width="17.42578125" bestFit="1" customWidth="1"/>
    <col min="14" max="15" width="17.7109375" bestFit="1" customWidth="1"/>
    <col min="16" max="16" width="15" bestFit="1" customWidth="1"/>
  </cols>
  <sheetData>
    <row r="1" spans="1:16" x14ac:dyDescent="0.25">
      <c r="A1" s="2" t="s">
        <v>0</v>
      </c>
      <c r="K1" s="13"/>
      <c r="L1" s="13"/>
      <c r="M1" s="13"/>
    </row>
    <row r="2" spans="1:16" x14ac:dyDescent="0.25">
      <c r="A2" s="3" t="s">
        <v>1</v>
      </c>
      <c r="B2" s="4" t="s">
        <v>2</v>
      </c>
      <c r="C2" s="11" t="s">
        <v>3</v>
      </c>
      <c r="D2" s="11" t="s">
        <v>4</v>
      </c>
      <c r="E2" s="4" t="s">
        <v>5</v>
      </c>
      <c r="F2" s="11" t="s">
        <v>3</v>
      </c>
      <c r="G2" s="11" t="s">
        <v>4</v>
      </c>
      <c r="H2" s="4" t="s">
        <v>6</v>
      </c>
      <c r="I2" s="11" t="s">
        <v>3</v>
      </c>
      <c r="J2" s="11" t="s">
        <v>4</v>
      </c>
      <c r="K2" s="4" t="s">
        <v>7</v>
      </c>
      <c r="L2" s="11" t="s">
        <v>3</v>
      </c>
      <c r="M2" s="11" t="s">
        <v>4</v>
      </c>
      <c r="N2" s="4" t="s">
        <v>9</v>
      </c>
      <c r="O2" s="11" t="s">
        <v>3</v>
      </c>
      <c r="P2" s="11" t="s">
        <v>4</v>
      </c>
    </row>
    <row r="3" spans="1:16" ht="60" x14ac:dyDescent="0.25">
      <c r="A3" s="6" t="s">
        <v>10</v>
      </c>
      <c r="B3" s="5">
        <f>'2021.'!B3+'2022.'!B3+'2023.'!B3+'2024.'!B3</f>
        <v>47673499</v>
      </c>
      <c r="C3" s="5">
        <f>'2021.'!C3+'2022.'!C3+'2023.'!C3+'2024.'!C3</f>
        <v>47673499</v>
      </c>
      <c r="D3" s="9">
        <f t="shared" ref="D3:D8" si="0">C3-B3</f>
        <v>0</v>
      </c>
      <c r="E3" s="5">
        <f>'2021.'!E3+'2022.'!E3+'2023.'!E3+'2024.'!E3</f>
        <v>5151869</v>
      </c>
      <c r="F3" s="5">
        <f>'2021.'!F3+'2022.'!F3+'2023.'!F3+'2024.'!F3</f>
        <v>5171770</v>
      </c>
      <c r="G3" s="9">
        <f>F3-E3</f>
        <v>19901</v>
      </c>
      <c r="H3" s="5">
        <f>'2021.'!H3+'2022.'!H3+'2023.'!H3+'2024.'!H3</f>
        <v>2535998</v>
      </c>
      <c r="I3" s="5">
        <f>'2021.'!I3+'2022.'!I3+'2023.'!I3+'2024.'!I3</f>
        <v>2535998</v>
      </c>
      <c r="J3" s="9">
        <f>I3-H3</f>
        <v>0</v>
      </c>
      <c r="K3" s="5">
        <f>'2021.'!K3+'2022.'!K3+'2023.'!K3+'2024.'!K3</f>
        <v>18052382</v>
      </c>
      <c r="L3" s="5">
        <f>'2021.'!L3+'2022.'!L3+'2023.'!L3+'2024.'!L3</f>
        <v>18000382</v>
      </c>
      <c r="M3" s="9">
        <f>L3-K3</f>
        <v>-52000</v>
      </c>
      <c r="N3" s="5">
        <f>B3+E3+H3+K3</f>
        <v>73413748</v>
      </c>
      <c r="O3" s="5">
        <f>C3+F3+I3+L3</f>
        <v>73381649</v>
      </c>
      <c r="P3" s="9">
        <f>O3-N3</f>
        <v>-32099</v>
      </c>
    </row>
    <row r="4" spans="1:16" ht="90" x14ac:dyDescent="0.25">
      <c r="A4" s="6" t="s">
        <v>11</v>
      </c>
      <c r="B4" s="5">
        <f>B5</f>
        <v>1486000</v>
      </c>
      <c r="C4" s="9">
        <f t="shared" ref="C4" si="1">C5</f>
        <v>1486000</v>
      </c>
      <c r="D4" s="9">
        <f t="shared" si="0"/>
        <v>0</v>
      </c>
      <c r="E4" s="5">
        <f t="shared" ref="E4:F4" si="2">E5</f>
        <v>0</v>
      </c>
      <c r="F4" s="9">
        <f t="shared" si="2"/>
        <v>0</v>
      </c>
      <c r="G4" s="9">
        <f>G5</f>
        <v>0</v>
      </c>
      <c r="H4" s="5">
        <f>H5</f>
        <v>0</v>
      </c>
      <c r="I4" s="9">
        <f>I5</f>
        <v>0</v>
      </c>
      <c r="J4" s="9">
        <f>J5</f>
        <v>0</v>
      </c>
      <c r="K4" s="5">
        <f>K5</f>
        <v>0</v>
      </c>
      <c r="L4" s="9">
        <f t="shared" ref="L4" si="3">L5</f>
        <v>0</v>
      </c>
      <c r="M4" s="9">
        <f>M5</f>
        <v>0</v>
      </c>
      <c r="N4" s="5">
        <f>N5</f>
        <v>1486000</v>
      </c>
      <c r="O4" s="9">
        <f>O5</f>
        <v>1486000</v>
      </c>
      <c r="P4" s="9">
        <f>P5</f>
        <v>0</v>
      </c>
    </row>
    <row r="5" spans="1:16" x14ac:dyDescent="0.25">
      <c r="A5" s="7" t="s">
        <v>12</v>
      </c>
      <c r="B5" s="5">
        <f>'2021.'!B5+'2022.'!B5+'2023.'!B5+'2024.'!B5</f>
        <v>1486000</v>
      </c>
      <c r="C5" s="5">
        <f>'2021.'!C5+'2022.'!C5+'2023.'!C5+'2024.'!C5</f>
        <v>1486000</v>
      </c>
      <c r="D5" s="9">
        <f t="shared" si="0"/>
        <v>0</v>
      </c>
      <c r="E5" s="5">
        <f>'2021.'!E5+'2022.'!E5+'2023.'!E5+'2024.'!E5</f>
        <v>0</v>
      </c>
      <c r="F5" s="5">
        <f>'2021.'!F5+'2022.'!F5+'2023.'!F5+'2024.'!F5</f>
        <v>0</v>
      </c>
      <c r="G5" s="9">
        <f>F5-E5</f>
        <v>0</v>
      </c>
      <c r="H5" s="5">
        <f>'2021.'!H5+'2022.'!H5+'2023.'!H5+'2024.'!H5</f>
        <v>0</v>
      </c>
      <c r="I5" s="5">
        <f>'2021.'!I5+'2022.'!I5+'2023.'!I5+'2024.'!I5</f>
        <v>0</v>
      </c>
      <c r="J5" s="9">
        <f>I5-H5</f>
        <v>0</v>
      </c>
      <c r="K5" s="5">
        <f>'2021.'!K5+'2022.'!K5+'2023.'!K5+'2024.'!K5</f>
        <v>0</v>
      </c>
      <c r="L5" s="5">
        <f>'2021.'!L5+'2022.'!L5+'2023.'!L5+'2024.'!L5</f>
        <v>0</v>
      </c>
      <c r="M5" s="9">
        <f>L5-K5</f>
        <v>0</v>
      </c>
      <c r="N5" s="5">
        <f>B5+E5+H5</f>
        <v>1486000</v>
      </c>
      <c r="O5" s="5">
        <f>C5+F5+I5</f>
        <v>1486000</v>
      </c>
      <c r="P5" s="9">
        <f>O5-N5</f>
        <v>0</v>
      </c>
    </row>
    <row r="6" spans="1:16" ht="90" x14ac:dyDescent="0.25">
      <c r="A6" s="6" t="s">
        <v>13</v>
      </c>
      <c r="B6" s="5">
        <f>B7+B8</f>
        <v>3874000</v>
      </c>
      <c r="C6" s="9">
        <f>C7+C8</f>
        <v>3874000</v>
      </c>
      <c r="D6" s="9">
        <f t="shared" si="0"/>
        <v>0</v>
      </c>
      <c r="E6" s="5">
        <f t="shared" ref="E6:K6" si="4">E7+E8</f>
        <v>1119752.22</v>
      </c>
      <c r="F6" s="9">
        <f t="shared" si="4"/>
        <v>1179000</v>
      </c>
      <c r="G6" s="9">
        <f t="shared" si="4"/>
        <v>59247.780000000028</v>
      </c>
      <c r="H6" s="5">
        <f t="shared" si="4"/>
        <v>0</v>
      </c>
      <c r="I6" s="9">
        <f t="shared" si="4"/>
        <v>0</v>
      </c>
      <c r="J6" s="9">
        <f t="shared" si="4"/>
        <v>0</v>
      </c>
      <c r="K6" s="5">
        <f t="shared" si="4"/>
        <v>351500</v>
      </c>
      <c r="L6" s="9">
        <f t="shared" ref="L6" si="5">L7+L8</f>
        <v>403500</v>
      </c>
      <c r="M6" s="9">
        <f>M7+M8</f>
        <v>52000</v>
      </c>
      <c r="N6" s="5">
        <f>N7+N8</f>
        <v>5345252.2200000007</v>
      </c>
      <c r="O6" s="5">
        <f>O7+O8</f>
        <v>5456500</v>
      </c>
      <c r="P6" s="9">
        <f>P7+P8</f>
        <v>111247.77999999968</v>
      </c>
    </row>
    <row r="7" spans="1:16" ht="46.5" customHeight="1" x14ac:dyDescent="0.25">
      <c r="A7" s="7" t="s">
        <v>14</v>
      </c>
      <c r="B7" s="5">
        <f>'2021.'!B7+'2022.'!B7+'2023.'!B7+'2024.'!B7</f>
        <v>3552578.39</v>
      </c>
      <c r="C7" s="5">
        <f>'2021.'!C7+'2022.'!C7+'2023.'!C7+'2024.'!C7</f>
        <v>3874000</v>
      </c>
      <c r="D7" s="9">
        <f t="shared" si="0"/>
        <v>321421.60999999987</v>
      </c>
      <c r="E7" s="5">
        <f>'2021.'!E7+'2022.'!E7+'2023.'!E7+'2024.'!E7</f>
        <v>1115115.72</v>
      </c>
      <c r="F7" s="5">
        <f>'2021.'!F7+'2022.'!F7+'2023.'!F7+'2024.'!F7</f>
        <v>1179000</v>
      </c>
      <c r="G7" s="9">
        <f>F7-E7</f>
        <v>63884.280000000028</v>
      </c>
      <c r="H7" s="5">
        <f>'2021.'!H7+'2022.'!H7+'2023.'!H7+'2024.'!H7</f>
        <v>0</v>
      </c>
      <c r="I7" s="5">
        <f>'2021.'!I7+'2022.'!I7+'2023.'!I7+'2024.'!I7</f>
        <v>0</v>
      </c>
      <c r="J7" s="9">
        <f>I7-H7</f>
        <v>0</v>
      </c>
      <c r="K7" s="5">
        <f>'2021.'!K7+'2022.'!K7+'2023.'!K7+'2024.'!K7</f>
        <v>351500</v>
      </c>
      <c r="L7" s="5">
        <f>'2021.'!L7+'2022.'!L7+'2023.'!L7+'2024.'!L7</f>
        <v>403500</v>
      </c>
      <c r="M7" s="9">
        <f>L7-K7</f>
        <v>52000</v>
      </c>
      <c r="N7" s="5">
        <f>B7+E7+H7+K7</f>
        <v>5019194.1100000003</v>
      </c>
      <c r="O7" s="5">
        <f>C7+F7+I7+L7</f>
        <v>5456500</v>
      </c>
      <c r="P7" s="9">
        <f>O7-N7</f>
        <v>437305.88999999966</v>
      </c>
    </row>
    <row r="8" spans="1:16" ht="38.25" customHeight="1" x14ac:dyDescent="0.25">
      <c r="A8" s="7" t="s">
        <v>15</v>
      </c>
      <c r="B8" s="5">
        <f>'2021.'!B8+'2022.'!B8+'2023.'!B8+'2024.'!B8</f>
        <v>321421.61</v>
      </c>
      <c r="C8" s="5">
        <f>'2021.'!C8+'2022.'!C8+'2023.'!C8+'2024.'!C8</f>
        <v>0</v>
      </c>
      <c r="D8" s="9">
        <f t="shared" si="0"/>
        <v>-321421.61</v>
      </c>
      <c r="E8" s="5">
        <f>'2021.'!E8+'2022.'!E8+'2023.'!E8+'2024.'!E8</f>
        <v>4636.5</v>
      </c>
      <c r="F8" s="5">
        <f>'2021.'!F8+'2022.'!F8+'2023.'!F8+'2024.'!F8</f>
        <v>0</v>
      </c>
      <c r="G8" s="9">
        <f>F8-E8</f>
        <v>-4636.5</v>
      </c>
      <c r="H8" s="5">
        <f>'2021.'!H8+'2022.'!H8+'2023.'!H8+'2024.'!H8</f>
        <v>0</v>
      </c>
      <c r="I8" s="5">
        <f>'2021.'!I8+'2022.'!I8+'2023.'!I8+'2024.'!I8</f>
        <v>0</v>
      </c>
      <c r="J8" s="9">
        <f>I8-H8</f>
        <v>0</v>
      </c>
      <c r="K8" s="5">
        <f>'2021.'!K8+'2022.'!K8+'2023.'!K8+'2024.'!K8</f>
        <v>0</v>
      </c>
      <c r="L8" s="5">
        <f>'2021.'!L8+'2022.'!L8+'2023.'!L8+'2024.'!L8</f>
        <v>0</v>
      </c>
      <c r="M8" s="9">
        <f>L8-K8</f>
        <v>0</v>
      </c>
      <c r="N8" s="5">
        <f>B8+E8+H8</f>
        <v>326058.11</v>
      </c>
      <c r="O8" s="5">
        <f>C8+F8+I8</f>
        <v>0</v>
      </c>
      <c r="P8" s="9">
        <f>O8-N8</f>
        <v>-326058.11</v>
      </c>
    </row>
    <row r="9" spans="1:16" ht="104.25" customHeight="1" x14ac:dyDescent="0.25">
      <c r="A9" s="6" t="s">
        <v>16</v>
      </c>
      <c r="B9" s="5">
        <f>'2021.'!B9+'2022.'!B9+'2023.'!B9+'2024.'!B9</f>
        <v>12886874</v>
      </c>
      <c r="C9" s="5">
        <f>'2021.'!C9+'2022.'!C9+'2023.'!C9+'2024.'!C9</f>
        <v>12886874</v>
      </c>
      <c r="D9" s="9">
        <f t="shared" ref="D9:D17" si="6">C9-B9</f>
        <v>0</v>
      </c>
      <c r="E9" s="5">
        <f>'2021.'!E9+'2022.'!E9+'2023.'!E9+'2024.'!E9</f>
        <v>1163931.1100000001</v>
      </c>
      <c r="F9" s="9">
        <f>'2021.'!F9+'2022.'!F9+'2023.'!F9+'2024.'!F9</f>
        <v>1179692</v>
      </c>
      <c r="G9" s="9">
        <f>F9-E9</f>
        <v>15760.889999999898</v>
      </c>
      <c r="H9" s="5">
        <f>'2021.'!H9+'2022.'!H9+'2023.'!H9+'2024.'!H9</f>
        <v>634000</v>
      </c>
      <c r="I9" s="5">
        <f>'2021.'!I9+'2022.'!I9+'2023.'!I9+'2024.'!I9</f>
        <v>634000</v>
      </c>
      <c r="J9" s="9">
        <f>I9-H9</f>
        <v>0</v>
      </c>
      <c r="K9" s="5">
        <f>'2021.'!K9+'2022.'!K9+'2023.'!K9+'2024.'!K9</f>
        <v>4600970</v>
      </c>
      <c r="L9" s="5">
        <f>'2021.'!L9+'2022.'!L9+'2023.'!L9+'2024.'!L9</f>
        <v>4600970</v>
      </c>
      <c r="M9" s="9">
        <f>L9-K9</f>
        <v>0</v>
      </c>
      <c r="N9" s="5">
        <f>B9+E9+H9+K9</f>
        <v>19285775.109999999</v>
      </c>
      <c r="O9" s="5">
        <f>C9+F9+I9+L9</f>
        <v>19301536</v>
      </c>
      <c r="P9" s="9">
        <f>O9-N9</f>
        <v>15760.890000000596</v>
      </c>
    </row>
    <row r="10" spans="1:16" x14ac:dyDescent="0.25">
      <c r="A10" s="8" t="s">
        <v>17</v>
      </c>
      <c r="B10" s="9">
        <f>(B3+B6)*0.25</f>
        <v>12886874.75</v>
      </c>
      <c r="C10" s="9">
        <f>(C3+C6)*0.25</f>
        <v>12886874.75</v>
      </c>
      <c r="D10" s="9">
        <f t="shared" si="6"/>
        <v>0</v>
      </c>
      <c r="E10" s="9">
        <f t="shared" ref="E10:O10" si="7">(E3+E6)*0.25</f>
        <v>1567905.3049999999</v>
      </c>
      <c r="F10" s="9">
        <f t="shared" si="7"/>
        <v>1587692.5</v>
      </c>
      <c r="G10" s="9">
        <f>(G3+G6)*0.25</f>
        <v>19787.195000000007</v>
      </c>
      <c r="H10" s="9">
        <f t="shared" si="7"/>
        <v>633999.5</v>
      </c>
      <c r="I10" s="9">
        <f t="shared" si="7"/>
        <v>633999.5</v>
      </c>
      <c r="J10" s="9">
        <f t="shared" si="7"/>
        <v>0</v>
      </c>
      <c r="K10" s="9">
        <f t="shared" si="7"/>
        <v>4600970.5</v>
      </c>
      <c r="L10" s="9">
        <f t="shared" si="7"/>
        <v>4600970.5</v>
      </c>
      <c r="M10" s="9">
        <f t="shared" si="7"/>
        <v>0</v>
      </c>
      <c r="N10" s="9">
        <f t="shared" si="7"/>
        <v>19689750.055</v>
      </c>
      <c r="O10" s="9">
        <f t="shared" si="7"/>
        <v>19709537.25</v>
      </c>
      <c r="P10" s="9">
        <f t="shared" ref="P10" si="8">(P3+P6)*0.25</f>
        <v>19787.19499999992</v>
      </c>
    </row>
    <row r="11" spans="1:16" x14ac:dyDescent="0.25">
      <c r="A11" s="8" t="s">
        <v>18</v>
      </c>
      <c r="B11" s="10">
        <f>B9/(B3+B6)</f>
        <v>0.24999998545031255</v>
      </c>
      <c r="C11" s="10">
        <f>C9/(C3+C6)</f>
        <v>0.24999998545031255</v>
      </c>
      <c r="D11" s="9">
        <f t="shared" si="6"/>
        <v>0</v>
      </c>
      <c r="E11" s="10">
        <f t="shared" ref="E11:O11" si="9">E9/(E3+E6)</f>
        <v>0.18558695896497399</v>
      </c>
      <c r="F11" s="10">
        <f t="shared" si="9"/>
        <v>0.1857557430043916</v>
      </c>
      <c r="G11" s="10">
        <f t="shared" si="9"/>
        <v>0.19912991710042646</v>
      </c>
      <c r="H11" s="10">
        <f t="shared" si="9"/>
        <v>0.25000019716103877</v>
      </c>
      <c r="I11" s="10">
        <f t="shared" si="9"/>
        <v>0.25000019716103877</v>
      </c>
      <c r="J11" s="10" t="e">
        <f t="shared" si="9"/>
        <v>#DIV/0!</v>
      </c>
      <c r="K11" s="10">
        <f t="shared" si="9"/>
        <v>0.24999997283181885</v>
      </c>
      <c r="L11" s="10">
        <f t="shared" si="9"/>
        <v>0.24999997283181885</v>
      </c>
      <c r="M11" s="10" t="e">
        <f t="shared" si="9"/>
        <v>#DIV/0!</v>
      </c>
      <c r="N11" s="10">
        <f t="shared" si="9"/>
        <v>0.24487074564339867</v>
      </c>
      <c r="O11" s="10">
        <f t="shared" si="9"/>
        <v>0.2448248245909477</v>
      </c>
      <c r="P11" s="10">
        <f t="shared" ref="P11" si="10">P9/(P3+P6)</f>
        <v>0.19912991710043618</v>
      </c>
    </row>
    <row r="12" spans="1:16" x14ac:dyDescent="0.25">
      <c r="A12" s="6" t="s">
        <v>19</v>
      </c>
      <c r="B12" s="5">
        <f>B3+B4+B6+B9</f>
        <v>65920373</v>
      </c>
      <c r="C12" s="9">
        <f>C3+C4+C6+C9</f>
        <v>65920373</v>
      </c>
      <c r="D12" s="9">
        <f>C12-B12</f>
        <v>0</v>
      </c>
      <c r="E12" s="5">
        <f>E3+E4+E6+E9</f>
        <v>7435552.3300000001</v>
      </c>
      <c r="F12" s="5">
        <f>F3+F4+F6+F9</f>
        <v>7530462</v>
      </c>
      <c r="G12" s="5">
        <f>F12-E12</f>
        <v>94909.669999999925</v>
      </c>
      <c r="H12" s="5">
        <f>H3+H4+H6+H9</f>
        <v>3169998</v>
      </c>
      <c r="I12" s="9">
        <f>I3+I4+I6+I9</f>
        <v>3169998</v>
      </c>
      <c r="J12" s="9">
        <f>J3+J4+J6+J9</f>
        <v>0</v>
      </c>
      <c r="K12" s="5">
        <f>K3+K4+K6+K9</f>
        <v>23004852</v>
      </c>
      <c r="L12" s="9">
        <f t="shared" ref="L12:M12" si="11">L3+L4+L6+L9</f>
        <v>23004852</v>
      </c>
      <c r="M12" s="9">
        <f t="shared" si="11"/>
        <v>0</v>
      </c>
      <c r="N12" s="5">
        <f>N3+N4+N6+N9</f>
        <v>99530775.329999998</v>
      </c>
      <c r="O12" s="5">
        <f>O3+O4+O6+O9</f>
        <v>99625685</v>
      </c>
      <c r="P12" s="9">
        <f>O12-N12</f>
        <v>94909.670000001788</v>
      </c>
    </row>
    <row r="13" spans="1:16" x14ac:dyDescent="0.25">
      <c r="A13" s="6"/>
      <c r="B13" s="5"/>
      <c r="C13" s="9"/>
      <c r="D13" s="9">
        <f t="shared" si="6"/>
        <v>0</v>
      </c>
      <c r="E13" s="5"/>
      <c r="F13" s="9"/>
      <c r="G13" s="9">
        <v>0</v>
      </c>
      <c r="H13" s="5"/>
      <c r="I13" s="9"/>
      <c r="J13" s="9"/>
      <c r="K13" s="5"/>
      <c r="L13" s="9"/>
      <c r="M13" s="9"/>
      <c r="N13" s="5"/>
      <c r="O13" s="9"/>
      <c r="P13" s="9"/>
    </row>
    <row r="14" spans="1:16" ht="30" x14ac:dyDescent="0.25">
      <c r="A14" s="6" t="s">
        <v>43</v>
      </c>
      <c r="B14" s="5">
        <v>65920373</v>
      </c>
      <c r="C14" s="9">
        <f>C12</f>
        <v>65920373</v>
      </c>
      <c r="D14" s="9">
        <f t="shared" si="6"/>
        <v>0</v>
      </c>
      <c r="E14" s="5"/>
      <c r="F14" s="9">
        <f>F12</f>
        <v>7530462</v>
      </c>
      <c r="G14" s="9">
        <v>0</v>
      </c>
      <c r="H14" s="5"/>
      <c r="I14" s="9">
        <f>I12</f>
        <v>3169998</v>
      </c>
      <c r="J14" s="9"/>
      <c r="K14" s="5"/>
      <c r="L14" s="9">
        <f>L12</f>
        <v>23004852</v>
      </c>
      <c r="M14" s="9"/>
      <c r="N14" s="5">
        <f>O12</f>
        <v>99625685</v>
      </c>
      <c r="O14" s="5">
        <f>C14+F14+I14+L14</f>
        <v>99625685</v>
      </c>
      <c r="P14" s="9"/>
    </row>
    <row r="15" spans="1:16" ht="60" x14ac:dyDescent="0.25">
      <c r="A15" s="6" t="s">
        <v>44</v>
      </c>
      <c r="B15" s="5">
        <f>'2021.'!B15+'2022.'!B15+'2023.'!B15+'2024.'!B15</f>
        <v>0</v>
      </c>
      <c r="C15" s="9"/>
      <c r="D15" s="9">
        <f t="shared" si="6"/>
        <v>0</v>
      </c>
      <c r="E15" s="5">
        <f>'2021.'!E15+'2022.'!E15+'2023.'!E15+'2024.'!E15</f>
        <v>164544.89000000001</v>
      </c>
      <c r="F15" s="9"/>
      <c r="G15" s="9">
        <v>0</v>
      </c>
      <c r="H15" s="5">
        <f>'2021.'!H15+'2022.'!H15+'2023.'!H15+'2024.'!H15</f>
        <v>0</v>
      </c>
      <c r="I15" s="9"/>
      <c r="J15" s="9"/>
      <c r="K15" s="5">
        <f>'2021.'!K15+'2022.'!K15+'2023.'!K15+'2024.'!K15</f>
        <v>0</v>
      </c>
      <c r="L15" s="9"/>
      <c r="M15" s="9"/>
      <c r="N15" s="5">
        <f>B15+E15+H15</f>
        <v>164544.89000000001</v>
      </c>
      <c r="O15" s="5">
        <f>C15+F15+I15</f>
        <v>0</v>
      </c>
      <c r="P15" s="9"/>
    </row>
    <row r="16" spans="1:16" ht="60" x14ac:dyDescent="0.25">
      <c r="A16" s="6" t="s">
        <v>45</v>
      </c>
      <c r="B16" s="5">
        <f>'2021.'!B16+'2022.'!B16+'2023.'!B16+'2024.'!B16</f>
        <v>0</v>
      </c>
      <c r="C16" s="9"/>
      <c r="D16" s="9">
        <f t="shared" si="6"/>
        <v>0</v>
      </c>
      <c r="E16" s="5">
        <f>'2021.'!E16+'2022.'!E16+'2023.'!E16+'2024.'!E16</f>
        <v>164544.89000000001</v>
      </c>
      <c r="F16" s="9"/>
      <c r="G16" s="9">
        <v>0</v>
      </c>
      <c r="H16" s="5">
        <f>'2021.'!H16+'2022.'!H16+'2023.'!H16+'2024.'!H16</f>
        <v>0</v>
      </c>
      <c r="I16" s="9"/>
      <c r="J16" s="9"/>
      <c r="K16" s="5">
        <f>'2021.'!K16+'2022.'!K16+'2023.'!K16+'2024.'!K16</f>
        <v>0</v>
      </c>
      <c r="L16" s="9"/>
      <c r="M16" s="9"/>
      <c r="N16" s="5">
        <f>B16+E16+H16</f>
        <v>164544.89000000001</v>
      </c>
      <c r="O16" s="5">
        <f>C16+F16+I16</f>
        <v>0</v>
      </c>
      <c r="P16" s="9"/>
    </row>
    <row r="17" spans="1:16" ht="30" x14ac:dyDescent="0.25">
      <c r="A17" s="6" t="s">
        <v>46</v>
      </c>
      <c r="B17" s="5">
        <f>'2021.'!B17+'2022.'!B17+'2023.'!B17+'2024.'!B17</f>
        <v>0</v>
      </c>
      <c r="C17" s="9"/>
      <c r="D17" s="9">
        <f t="shared" si="6"/>
        <v>0</v>
      </c>
      <c r="E17" s="5">
        <f>'2021.'!E17+'2022.'!E17+'2023.'!E17+'2024.'!E17</f>
        <v>94909.669999999925</v>
      </c>
      <c r="F17" s="9"/>
      <c r="G17" s="9">
        <v>0</v>
      </c>
      <c r="H17" s="5">
        <f>'2021.'!H17+'2022.'!H17+'2023.'!H17+'2024.'!H17</f>
        <v>0</v>
      </c>
      <c r="I17" s="9"/>
      <c r="J17" s="9"/>
      <c r="K17" s="5">
        <f>'2021.'!K17+'2022.'!K17+'2023.'!K17+'2024.'!K17</f>
        <v>0</v>
      </c>
      <c r="L17" s="9"/>
      <c r="M17" s="9"/>
      <c r="N17" s="5">
        <f>B17+E17+H17</f>
        <v>94909.669999999925</v>
      </c>
      <c r="O17" s="9"/>
      <c r="P17" s="9"/>
    </row>
    <row r="18" spans="1:16" x14ac:dyDescent="0.25">
      <c r="B18" s="1"/>
      <c r="C18" s="1"/>
      <c r="D18" s="1"/>
      <c r="E18" s="1"/>
      <c r="F18" s="12"/>
      <c r="G18" s="12"/>
      <c r="H18" s="1"/>
      <c r="I18" s="12"/>
      <c r="J18" s="12"/>
      <c r="K18" s="1"/>
      <c r="L18" s="12"/>
      <c r="M18" s="12"/>
      <c r="N18" s="1"/>
      <c r="O18" s="1"/>
      <c r="P18" s="12"/>
    </row>
    <row r="19" spans="1:16" x14ac:dyDescent="0.25">
      <c r="B19" s="1"/>
      <c r="C19" s="1"/>
      <c r="D19" s="1"/>
      <c r="E19" s="1">
        <f>E16-E15</f>
        <v>0</v>
      </c>
      <c r="F19" s="1"/>
      <c r="G19" s="1"/>
      <c r="H19" s="1">
        <f>H16-H15</f>
        <v>0</v>
      </c>
      <c r="I19" s="1"/>
      <c r="J19" s="1"/>
      <c r="K19" s="1">
        <f>K16-K15</f>
        <v>0</v>
      </c>
      <c r="L19" s="12"/>
      <c r="M19" s="12"/>
      <c r="N19" s="1">
        <f>N16-N15</f>
        <v>0</v>
      </c>
      <c r="O19" s="1"/>
      <c r="P19" s="12"/>
    </row>
    <row r="20" spans="1:16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1"/>
  <sheetViews>
    <sheetView workbookViewId="0">
      <selection activeCell="C3" sqref="C3"/>
    </sheetView>
  </sheetViews>
  <sheetFormatPr defaultRowHeight="15" x14ac:dyDescent="0.25"/>
  <cols>
    <col min="1" max="1" width="78.42578125" customWidth="1"/>
    <col min="2" max="2" width="16.42578125" bestFit="1" customWidth="1"/>
    <col min="3" max="4" width="15.42578125" bestFit="1" customWidth="1"/>
    <col min="5" max="5" width="15.42578125" customWidth="1"/>
    <col min="6" max="7" width="16.42578125" bestFit="1" customWidth="1"/>
  </cols>
  <sheetData>
    <row r="1" spans="1:8" x14ac:dyDescent="0.25">
      <c r="A1" s="2" t="s">
        <v>47</v>
      </c>
      <c r="E1" s="13"/>
    </row>
    <row r="2" spans="1:8" x14ac:dyDescent="0.25">
      <c r="A2" s="3" t="s">
        <v>1</v>
      </c>
      <c r="B2" s="4" t="s">
        <v>2</v>
      </c>
      <c r="C2" s="4" t="s">
        <v>5</v>
      </c>
      <c r="D2" s="4" t="s">
        <v>6</v>
      </c>
      <c r="E2" s="4" t="s">
        <v>7</v>
      </c>
      <c r="F2" s="4" t="s">
        <v>48</v>
      </c>
    </row>
    <row r="3" spans="1:8" x14ac:dyDescent="0.25">
      <c r="A3" s="6" t="s">
        <v>10</v>
      </c>
      <c r="B3" s="5">
        <v>12061500</v>
      </c>
      <c r="C3" s="5">
        <v>762087</v>
      </c>
      <c r="D3" s="5">
        <v>606239</v>
      </c>
      <c r="E3" s="5">
        <v>4908319</v>
      </c>
      <c r="F3" s="5">
        <f>B3+C3+D3+E3</f>
        <v>18338145</v>
      </c>
      <c r="G3" s="1"/>
      <c r="H3" s="1"/>
    </row>
    <row r="4" spans="1:8" ht="30" x14ac:dyDescent="0.25">
      <c r="A4" s="6" t="s">
        <v>11</v>
      </c>
      <c r="B4" s="5">
        <f>B5</f>
        <v>306000</v>
      </c>
      <c r="C4" s="5">
        <f t="shared" ref="C4:E4" si="0">C5</f>
        <v>0</v>
      </c>
      <c r="D4" s="5">
        <f t="shared" si="0"/>
        <v>0</v>
      </c>
      <c r="E4" s="5">
        <f t="shared" si="0"/>
        <v>0</v>
      </c>
      <c r="F4" s="5">
        <f>F5</f>
        <v>306000</v>
      </c>
      <c r="G4" s="1"/>
      <c r="H4" s="1"/>
    </row>
    <row r="5" spans="1:8" x14ac:dyDescent="0.25">
      <c r="A5" s="7" t="s">
        <v>12</v>
      </c>
      <c r="B5" s="5">
        <v>306000</v>
      </c>
      <c r="C5" s="5">
        <v>0</v>
      </c>
      <c r="D5" s="5">
        <v>0</v>
      </c>
      <c r="E5" s="5">
        <v>0</v>
      </c>
      <c r="F5" s="5">
        <f>B5+C5+D5+E5</f>
        <v>306000</v>
      </c>
      <c r="G5" s="1"/>
      <c r="H5" s="1"/>
    </row>
    <row r="6" spans="1:8" ht="30" x14ac:dyDescent="0.25">
      <c r="A6" s="6" t="s">
        <v>13</v>
      </c>
      <c r="B6" s="5">
        <f>B7+B8</f>
        <v>1037000</v>
      </c>
      <c r="C6" s="5">
        <f t="shared" ref="C6:D6" si="1">C7+C8</f>
        <v>85205.84</v>
      </c>
      <c r="D6" s="5">
        <f t="shared" si="1"/>
        <v>0</v>
      </c>
      <c r="E6" s="5">
        <f t="shared" ref="E6" si="2">E7+E8</f>
        <v>113000</v>
      </c>
      <c r="F6" s="5">
        <f>F7+F8</f>
        <v>1235205.8400000001</v>
      </c>
      <c r="G6" s="1"/>
      <c r="H6" s="1"/>
    </row>
    <row r="7" spans="1:8" x14ac:dyDescent="0.25">
      <c r="A7" s="7" t="s">
        <v>14</v>
      </c>
      <c r="B7" s="5">
        <v>913302.67</v>
      </c>
      <c r="C7" s="5">
        <v>85205.84</v>
      </c>
      <c r="D7" s="5">
        <v>0</v>
      </c>
      <c r="E7" s="5">
        <v>113000</v>
      </c>
      <c r="F7" s="5">
        <f>B7+C7+D7+E7</f>
        <v>1111508.51</v>
      </c>
      <c r="G7" s="1"/>
      <c r="H7" s="1"/>
    </row>
    <row r="8" spans="1:8" x14ac:dyDescent="0.25">
      <c r="A8" s="7" t="s">
        <v>15</v>
      </c>
      <c r="B8" s="5">
        <v>123697.33</v>
      </c>
      <c r="C8" s="5"/>
      <c r="D8" s="5">
        <v>0</v>
      </c>
      <c r="E8" s="5">
        <v>0</v>
      </c>
      <c r="F8" s="5">
        <f>B8+C8+D8+E8</f>
        <v>123697.33</v>
      </c>
      <c r="G8" s="1"/>
      <c r="H8" s="1"/>
    </row>
    <row r="9" spans="1:8" ht="45" x14ac:dyDescent="0.25">
      <c r="A9" s="6" t="s">
        <v>16</v>
      </c>
      <c r="B9" s="5">
        <v>3274624</v>
      </c>
      <c r="C9" s="5">
        <v>151315.75</v>
      </c>
      <c r="D9" s="5">
        <v>151560</v>
      </c>
      <c r="E9" s="5">
        <v>1255330</v>
      </c>
      <c r="F9" s="5">
        <f>B9+C9+D9+E9</f>
        <v>4832829.75</v>
      </c>
      <c r="G9" s="1"/>
      <c r="H9" s="1"/>
    </row>
    <row r="10" spans="1:8" x14ac:dyDescent="0.25">
      <c r="A10" s="8" t="s">
        <v>17</v>
      </c>
      <c r="B10" s="9">
        <f>(B3+B6)*0.25</f>
        <v>3274625</v>
      </c>
      <c r="C10" s="9">
        <f t="shared" ref="C10:F10" si="3">(C3+C6)*0.25</f>
        <v>211823.21</v>
      </c>
      <c r="D10" s="9">
        <f t="shared" si="3"/>
        <v>151559.75</v>
      </c>
      <c r="E10" s="9"/>
      <c r="F10" s="9">
        <f t="shared" si="3"/>
        <v>4893337.71</v>
      </c>
      <c r="G10" s="1"/>
      <c r="H10" s="1"/>
    </row>
    <row r="11" spans="1:8" x14ac:dyDescent="0.25">
      <c r="A11" s="8" t="s">
        <v>18</v>
      </c>
      <c r="B11" s="10">
        <f>B9/(B3+B6)</f>
        <v>0.24999992365538037</v>
      </c>
      <c r="C11" s="10">
        <f t="shared" ref="C11:F11" si="4">C9/(C3+C6)</f>
        <v>0.17858731108833636</v>
      </c>
      <c r="D11" s="10">
        <f t="shared" si="4"/>
        <v>0.25000041237861637</v>
      </c>
      <c r="E11" s="10"/>
      <c r="F11" s="10">
        <f t="shared" si="4"/>
        <v>0.24690865603469661</v>
      </c>
      <c r="G11" s="1"/>
      <c r="H11" s="1"/>
    </row>
    <row r="12" spans="1:8" x14ac:dyDescent="0.25">
      <c r="A12" s="6" t="s">
        <v>19</v>
      </c>
      <c r="B12" s="5">
        <f>B3+B4+B6+B9</f>
        <v>16679124</v>
      </c>
      <c r="C12" s="5">
        <f t="shared" ref="C12" si="5">C3+C4+C6+C9</f>
        <v>998608.59</v>
      </c>
      <c r="D12" s="5">
        <f>D3+D4+D6+D9</f>
        <v>757799</v>
      </c>
      <c r="E12" s="5">
        <f>E3+E4+E6+E9</f>
        <v>6276649</v>
      </c>
      <c r="F12" s="5">
        <f>F3+F4+F6+F9</f>
        <v>24712180.59</v>
      </c>
      <c r="G12" s="1"/>
      <c r="H12" s="1"/>
    </row>
    <row r="13" spans="1:8" x14ac:dyDescent="0.25">
      <c r="A13" s="6"/>
      <c r="B13" s="5"/>
      <c r="C13" s="5"/>
      <c r="D13" s="5"/>
      <c r="E13" s="5"/>
      <c r="F13" s="5"/>
      <c r="G13" s="1"/>
      <c r="H13" s="1"/>
    </row>
    <row r="14" spans="1:8" x14ac:dyDescent="0.25">
      <c r="A14" s="6" t="s">
        <v>36</v>
      </c>
      <c r="B14" s="5">
        <v>16679124</v>
      </c>
      <c r="C14" s="5">
        <v>1000301</v>
      </c>
      <c r="D14" s="5">
        <v>757799</v>
      </c>
      <c r="E14" s="5">
        <v>6276649</v>
      </c>
      <c r="F14" s="5">
        <f>B14+C14+D14+E14</f>
        <v>24713873</v>
      </c>
      <c r="G14" s="1"/>
      <c r="H14" s="1"/>
    </row>
    <row r="15" spans="1:8" x14ac:dyDescent="0.25">
      <c r="A15" s="6" t="s">
        <v>49</v>
      </c>
      <c r="B15" s="5">
        <v>0</v>
      </c>
      <c r="C15" s="5">
        <v>42729.4</v>
      </c>
      <c r="D15" s="5">
        <v>0</v>
      </c>
      <c r="E15" s="5">
        <v>0</v>
      </c>
      <c r="F15" s="5">
        <f>B15+C15+D15+E15</f>
        <v>42729.4</v>
      </c>
      <c r="G15" s="1"/>
      <c r="H15" s="1"/>
    </row>
    <row r="16" spans="1:8" ht="30" x14ac:dyDescent="0.25">
      <c r="A16" s="6" t="s">
        <v>38</v>
      </c>
      <c r="B16" s="5">
        <v>0</v>
      </c>
      <c r="C16" s="5">
        <v>41036.99</v>
      </c>
      <c r="D16" s="5">
        <v>0</v>
      </c>
      <c r="E16" s="5">
        <v>0</v>
      </c>
      <c r="F16" s="5">
        <f>B16+C16+D16+E16</f>
        <v>41036.99</v>
      </c>
      <c r="G16" s="1"/>
      <c r="H16" s="1"/>
    </row>
    <row r="17" spans="1:8" x14ac:dyDescent="0.25">
      <c r="A17" s="6" t="s">
        <v>39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1"/>
      <c r="H17" s="1"/>
    </row>
    <row r="18" spans="1:8" x14ac:dyDescent="0.25">
      <c r="B18" s="1"/>
      <c r="C18" s="1"/>
      <c r="D18" s="1"/>
      <c r="E18" s="1"/>
      <c r="F18" s="1"/>
      <c r="G18" s="1"/>
      <c r="H18" s="1"/>
    </row>
    <row r="19" spans="1:8" x14ac:dyDescent="0.25">
      <c r="B19" s="1">
        <f>B16-B15</f>
        <v>0</v>
      </c>
      <c r="C19" s="1">
        <f>C16-C15</f>
        <v>-1692.4100000000035</v>
      </c>
      <c r="D19" s="1">
        <f t="shared" ref="D19" si="6">D16-D15</f>
        <v>0</v>
      </c>
      <c r="E19" s="1">
        <f t="shared" ref="E19" si="7">E16-E15</f>
        <v>0</v>
      </c>
      <c r="F19" s="1">
        <f>F16-F15</f>
        <v>-1692.4100000000035</v>
      </c>
      <c r="G19" s="1"/>
      <c r="H19" s="1"/>
    </row>
    <row r="20" spans="1:8" x14ac:dyDescent="0.25">
      <c r="B20" s="1"/>
      <c r="C20" s="1"/>
      <c r="D20" s="1"/>
      <c r="E20" s="1"/>
      <c r="F20" s="1"/>
      <c r="G20" s="1"/>
      <c r="H20" s="1"/>
    </row>
    <row r="21" spans="1:8" x14ac:dyDescent="0.25">
      <c r="B21" s="1">
        <f>B14+B16-B15</f>
        <v>16679124</v>
      </c>
      <c r="C21" s="1">
        <f>C14+C16-C15</f>
        <v>998608.59</v>
      </c>
      <c r="D21" s="1">
        <f t="shared" ref="D21" si="8">D14+D16-D15</f>
        <v>757799</v>
      </c>
      <c r="E21" s="1">
        <f t="shared" ref="E21" si="9">E14+E16-E15</f>
        <v>6276649</v>
      </c>
      <c r="F21" s="1">
        <f>F14+F16-F15</f>
        <v>24712180.59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1"/>
  <sheetViews>
    <sheetView workbookViewId="0">
      <selection activeCell="C3" sqref="C3"/>
    </sheetView>
  </sheetViews>
  <sheetFormatPr defaultRowHeight="15" outlineLevelCol="1" x14ac:dyDescent="0.25"/>
  <cols>
    <col min="1" max="1" width="78.42578125" customWidth="1"/>
    <col min="2" max="2" width="16.42578125" bestFit="1" customWidth="1"/>
    <col min="3" max="3" width="16" bestFit="1" customWidth="1"/>
    <col min="4" max="5" width="15.42578125" customWidth="1" outlineLevel="1"/>
    <col min="6" max="6" width="15.42578125" bestFit="1" customWidth="1"/>
    <col min="7" max="8" width="15.42578125" customWidth="1" outlineLevel="1"/>
    <col min="9" max="9" width="15.42578125" customWidth="1"/>
    <col min="10" max="11" width="15.42578125" customWidth="1" outlineLevel="1"/>
    <col min="12" max="12" width="16.42578125" bestFit="1" customWidth="1"/>
  </cols>
  <sheetData>
    <row r="1" spans="1:14" x14ac:dyDescent="0.25">
      <c r="A1" s="2" t="s">
        <v>50</v>
      </c>
      <c r="G1" s="13"/>
      <c r="H1" s="13"/>
      <c r="I1" s="13"/>
      <c r="J1" s="13"/>
      <c r="K1" s="13"/>
    </row>
    <row r="2" spans="1:14" x14ac:dyDescent="0.25">
      <c r="A2" s="3" t="s">
        <v>1</v>
      </c>
      <c r="B2" s="4" t="s">
        <v>2</v>
      </c>
      <c r="C2" s="4" t="s">
        <v>5</v>
      </c>
      <c r="D2" s="11" t="s">
        <v>51</v>
      </c>
      <c r="E2" s="11" t="s">
        <v>52</v>
      </c>
      <c r="F2" s="4" t="s">
        <v>6</v>
      </c>
      <c r="G2" s="11" t="s">
        <v>53</v>
      </c>
      <c r="H2" s="11" t="s">
        <v>54</v>
      </c>
      <c r="I2" s="4" t="s">
        <v>7</v>
      </c>
      <c r="J2" s="11" t="s">
        <v>55</v>
      </c>
      <c r="K2" s="11" t="s">
        <v>52</v>
      </c>
      <c r="L2" s="4" t="s">
        <v>48</v>
      </c>
    </row>
    <row r="3" spans="1:14" x14ac:dyDescent="0.25">
      <c r="A3" s="6" t="s">
        <v>10</v>
      </c>
      <c r="B3" s="5">
        <v>15961500</v>
      </c>
      <c r="C3" s="5">
        <v>1713224</v>
      </c>
      <c r="D3" s="9">
        <v>1707075</v>
      </c>
      <c r="E3" s="9">
        <f>D3-C3</f>
        <v>-6149</v>
      </c>
      <c r="F3" s="5">
        <v>639251</v>
      </c>
      <c r="G3" s="9">
        <v>639251</v>
      </c>
      <c r="H3" s="9">
        <f>G3-F3</f>
        <v>0</v>
      </c>
      <c r="I3" s="5">
        <v>3930509</v>
      </c>
      <c r="J3" s="9">
        <v>3930509</v>
      </c>
      <c r="K3" s="9">
        <f>J3-I3</f>
        <v>0</v>
      </c>
      <c r="L3" s="5">
        <f>B3+C3+F3+I3</f>
        <v>22244484</v>
      </c>
      <c r="M3" s="1"/>
      <c r="N3" s="1"/>
    </row>
    <row r="4" spans="1:14" ht="30" x14ac:dyDescent="0.25">
      <c r="A4" s="6" t="s">
        <v>11</v>
      </c>
      <c r="B4" s="5">
        <f>B5</f>
        <v>573000</v>
      </c>
      <c r="C4" s="5">
        <f t="shared" ref="C4:F4" si="0">C5</f>
        <v>0</v>
      </c>
      <c r="D4" s="9"/>
      <c r="E4" s="9"/>
      <c r="F4" s="5">
        <f t="shared" si="0"/>
        <v>0</v>
      </c>
      <c r="G4" s="9"/>
      <c r="H4" s="9"/>
      <c r="I4" s="5"/>
      <c r="J4" s="9"/>
      <c r="K4" s="9"/>
      <c r="L4" s="5">
        <f>L5</f>
        <v>573000</v>
      </c>
      <c r="M4" s="1"/>
      <c r="N4" s="1"/>
    </row>
    <row r="5" spans="1:14" x14ac:dyDescent="0.25">
      <c r="A5" s="7" t="s">
        <v>12</v>
      </c>
      <c r="B5" s="5">
        <v>573000</v>
      </c>
      <c r="C5" s="5">
        <v>0</v>
      </c>
      <c r="D5" s="9"/>
      <c r="E5" s="9"/>
      <c r="F5" s="5">
        <v>0</v>
      </c>
      <c r="G5" s="9"/>
      <c r="H5" s="9"/>
      <c r="I5" s="5">
        <f>I4</f>
        <v>0</v>
      </c>
      <c r="J5" s="9"/>
      <c r="K5" s="9"/>
      <c r="L5" s="5">
        <f>B5+C5+F5+I5</f>
        <v>573000</v>
      </c>
      <c r="M5" s="1"/>
      <c r="N5" s="1"/>
    </row>
    <row r="6" spans="1:14" ht="30" x14ac:dyDescent="0.25">
      <c r="A6" s="6" t="s">
        <v>13</v>
      </c>
      <c r="B6" s="5">
        <f>B7+B8</f>
        <v>1291000</v>
      </c>
      <c r="C6" s="5">
        <f t="shared" ref="C6:F6" si="1">C7+C8</f>
        <v>147429.57999999999</v>
      </c>
      <c r="D6" s="9">
        <v>185000</v>
      </c>
      <c r="E6" s="9">
        <f>D6-C6</f>
        <v>37570.420000000013</v>
      </c>
      <c r="F6" s="5">
        <f t="shared" si="1"/>
        <v>0</v>
      </c>
      <c r="G6" s="9"/>
      <c r="H6" s="9">
        <f>G6-F6</f>
        <v>0</v>
      </c>
      <c r="I6" s="5">
        <f>I7+I8</f>
        <v>143500</v>
      </c>
      <c r="J6" s="9">
        <v>143500</v>
      </c>
      <c r="K6" s="9">
        <f>J6-I6</f>
        <v>0</v>
      </c>
      <c r="L6" s="5">
        <f>L7+L8</f>
        <v>1581929.58</v>
      </c>
      <c r="M6" s="1"/>
      <c r="N6" s="1"/>
    </row>
    <row r="7" spans="1:14" x14ac:dyDescent="0.25">
      <c r="A7" s="7" t="s">
        <v>14</v>
      </c>
      <c r="B7" s="5">
        <v>1173996.8700000001</v>
      </c>
      <c r="C7" s="5">
        <v>147429.57999999999</v>
      </c>
      <c r="D7" s="9"/>
      <c r="E7" s="9"/>
      <c r="F7" s="5"/>
      <c r="G7" s="9"/>
      <c r="H7" s="9"/>
      <c r="I7" s="5">
        <v>143500</v>
      </c>
      <c r="J7" s="9"/>
      <c r="K7" s="9"/>
      <c r="L7" s="5">
        <f>B7+C7+F7+I7</f>
        <v>1464926.4500000002</v>
      </c>
      <c r="M7" s="1"/>
      <c r="N7" s="1"/>
    </row>
    <row r="8" spans="1:14" x14ac:dyDescent="0.25">
      <c r="A8" s="7" t="s">
        <v>15</v>
      </c>
      <c r="B8" s="5">
        <v>117003.13</v>
      </c>
      <c r="C8" s="5"/>
      <c r="D8" s="9"/>
      <c r="E8" s="9"/>
      <c r="F8" s="5"/>
      <c r="G8" s="9"/>
      <c r="H8" s="9"/>
      <c r="I8" s="5"/>
      <c r="J8" s="9"/>
      <c r="K8" s="9"/>
      <c r="L8" s="5">
        <f>B8+C8+F8+I8</f>
        <v>117003.13</v>
      </c>
      <c r="M8" s="1"/>
      <c r="N8" s="1"/>
    </row>
    <row r="9" spans="1:14" ht="45" x14ac:dyDescent="0.25">
      <c r="A9" s="6" t="s">
        <v>16</v>
      </c>
      <c r="B9" s="5">
        <v>4313125</v>
      </c>
      <c r="C9" s="5">
        <v>362979.32</v>
      </c>
      <c r="D9" s="9">
        <v>369607</v>
      </c>
      <c r="E9" s="9">
        <f>D9-C9</f>
        <v>6627.679999999993</v>
      </c>
      <c r="F9" s="5">
        <v>159813</v>
      </c>
      <c r="G9" s="9">
        <v>159813</v>
      </c>
      <c r="H9" s="9">
        <f>G9-F9</f>
        <v>0</v>
      </c>
      <c r="I9" s="5">
        <v>1018502</v>
      </c>
      <c r="J9" s="9">
        <v>1018502</v>
      </c>
      <c r="K9" s="9">
        <f>J9-I9</f>
        <v>0</v>
      </c>
      <c r="L9" s="5">
        <f>B9+C9+F9+I9</f>
        <v>5854419.3200000003</v>
      </c>
      <c r="M9" s="1"/>
      <c r="N9" s="1"/>
    </row>
    <row r="10" spans="1:14" x14ac:dyDescent="0.25">
      <c r="A10" s="8" t="s">
        <v>17</v>
      </c>
      <c r="B10" s="9">
        <f>(B3+B6)*0.25</f>
        <v>4313125</v>
      </c>
      <c r="C10" s="9">
        <f t="shared" ref="C10:F10" si="2">(C3+C6)*0.25</f>
        <v>465163.39500000002</v>
      </c>
      <c r="D10" s="9">
        <f t="shared" si="2"/>
        <v>473018.75</v>
      </c>
      <c r="E10" s="9"/>
      <c r="F10" s="9">
        <f t="shared" si="2"/>
        <v>159812.75</v>
      </c>
      <c r="G10" s="9"/>
      <c r="H10" s="9"/>
      <c r="I10" s="9"/>
      <c r="J10" s="9"/>
      <c r="K10" s="9"/>
      <c r="L10" s="9">
        <f>(L3+L6)*0.25</f>
        <v>5956603.3949999996</v>
      </c>
      <c r="M10" s="1"/>
      <c r="N10" s="1"/>
    </row>
    <row r="11" spans="1:14" x14ac:dyDescent="0.25">
      <c r="A11" s="8" t="s">
        <v>18</v>
      </c>
      <c r="B11" s="10">
        <f>B9/(B3+B6)</f>
        <v>0.25</v>
      </c>
      <c r="C11" s="10">
        <f t="shared" ref="C11:G11" si="3">C9/(C3+C6)</f>
        <v>0.19508162287791367</v>
      </c>
      <c r="D11" s="10">
        <f t="shared" si="3"/>
        <v>0.19534479341463737</v>
      </c>
      <c r="E11" s="10"/>
      <c r="F11" s="10">
        <f t="shared" si="3"/>
        <v>0.25000039108268896</v>
      </c>
      <c r="G11" s="10">
        <f t="shared" si="3"/>
        <v>0.25000039108268896</v>
      </c>
      <c r="H11" s="10"/>
      <c r="I11" s="10"/>
      <c r="J11" s="10"/>
      <c r="K11" s="10"/>
      <c r="L11" s="10">
        <f>L9/(L3+L6)</f>
        <v>0.24571131111877564</v>
      </c>
      <c r="M11" s="1"/>
      <c r="N11" s="1"/>
    </row>
    <row r="12" spans="1:14" x14ac:dyDescent="0.25">
      <c r="A12" s="6" t="s">
        <v>19</v>
      </c>
      <c r="B12" s="5">
        <f>B3+B4+B6+B9</f>
        <v>22138625</v>
      </c>
      <c r="C12" s="5">
        <f>C3+C4+C6+C9</f>
        <v>2223632.9</v>
      </c>
      <c r="D12" s="9">
        <f>D3+D6+D9</f>
        <v>2261682</v>
      </c>
      <c r="E12" s="9">
        <f>E3+E6+E9</f>
        <v>38049.100000000006</v>
      </c>
      <c r="F12" s="5">
        <f>F3+F4+F6+F9</f>
        <v>799064</v>
      </c>
      <c r="G12" s="9">
        <f>G3+G4+G6+G9</f>
        <v>799064</v>
      </c>
      <c r="H12" s="9">
        <f>H3+H4+H6+H9</f>
        <v>0</v>
      </c>
      <c r="I12" s="5">
        <f>I3+I4+I6+I9</f>
        <v>5092511</v>
      </c>
      <c r="J12" s="9">
        <f t="shared" ref="J12:K12" si="4">J3+J4+J6+J9</f>
        <v>5092511</v>
      </c>
      <c r="K12" s="9">
        <f t="shared" si="4"/>
        <v>0</v>
      </c>
      <c r="L12" s="5">
        <f>L3+L4+L6+L9</f>
        <v>30253832.899999999</v>
      </c>
      <c r="M12" s="1"/>
      <c r="N12" s="1"/>
    </row>
    <row r="13" spans="1:14" x14ac:dyDescent="0.25">
      <c r="A13" s="6"/>
      <c r="B13" s="5"/>
      <c r="C13" s="5"/>
      <c r="D13" s="9"/>
      <c r="E13" s="9"/>
      <c r="F13" s="5"/>
      <c r="G13" s="9"/>
      <c r="H13" s="9"/>
      <c r="I13" s="5"/>
      <c r="J13" s="9"/>
      <c r="K13" s="9"/>
      <c r="L13" s="5"/>
      <c r="M13" s="1"/>
      <c r="N13" s="1"/>
    </row>
    <row r="14" spans="1:14" x14ac:dyDescent="0.25">
      <c r="A14" s="6" t="s">
        <v>36</v>
      </c>
      <c r="B14" s="5">
        <v>22138625</v>
      </c>
      <c r="C14" s="5">
        <v>2261682</v>
      </c>
      <c r="D14" s="9"/>
      <c r="E14" s="9"/>
      <c r="F14" s="5">
        <v>799064</v>
      </c>
      <c r="G14" s="9"/>
      <c r="H14" s="9"/>
      <c r="I14" s="5">
        <v>5092511</v>
      </c>
      <c r="J14" s="9"/>
      <c r="K14" s="9"/>
      <c r="L14" s="5">
        <f>B14+C14+F14+I14</f>
        <v>30291882</v>
      </c>
      <c r="M14" s="1"/>
      <c r="N14" s="1"/>
    </row>
    <row r="15" spans="1:14" x14ac:dyDescent="0.25">
      <c r="A15" s="6" t="s">
        <v>49</v>
      </c>
      <c r="B15" s="5">
        <v>0</v>
      </c>
      <c r="C15" s="5">
        <v>80778.5</v>
      </c>
      <c r="D15" s="9"/>
      <c r="E15" s="9"/>
      <c r="F15" s="5"/>
      <c r="G15" s="9"/>
      <c r="H15" s="9"/>
      <c r="I15" s="5"/>
      <c r="J15" s="9"/>
      <c r="K15" s="9"/>
      <c r="L15" s="5">
        <f>B15+C15+F15+I15</f>
        <v>80778.5</v>
      </c>
      <c r="M15" s="1"/>
      <c r="N15" s="1"/>
    </row>
    <row r="16" spans="1:14" ht="30" x14ac:dyDescent="0.25">
      <c r="A16" s="6" t="s">
        <v>38</v>
      </c>
      <c r="B16" s="5">
        <v>0</v>
      </c>
      <c r="C16" s="5">
        <v>42729.4</v>
      </c>
      <c r="D16" s="9"/>
      <c r="E16" s="9"/>
      <c r="F16" s="5">
        <v>0</v>
      </c>
      <c r="G16" s="9"/>
      <c r="H16" s="9"/>
      <c r="I16" s="5"/>
      <c r="J16" s="9"/>
      <c r="K16" s="9"/>
      <c r="L16" s="5">
        <f>B16+C16+F16+I16</f>
        <v>42729.4</v>
      </c>
      <c r="M16" s="1"/>
      <c r="N16" s="1"/>
    </row>
    <row r="17" spans="1:14" x14ac:dyDescent="0.25">
      <c r="A17" s="6" t="s">
        <v>39</v>
      </c>
      <c r="B17" s="5">
        <v>0</v>
      </c>
      <c r="C17" s="5">
        <v>0</v>
      </c>
      <c r="D17" s="9"/>
      <c r="E17" s="9"/>
      <c r="F17" s="5">
        <v>0</v>
      </c>
      <c r="G17" s="9"/>
      <c r="H17" s="9"/>
      <c r="I17" s="5"/>
      <c r="J17" s="9"/>
      <c r="K17" s="9"/>
      <c r="L17" s="5">
        <v>0</v>
      </c>
      <c r="M17" s="1"/>
      <c r="N17" s="1"/>
    </row>
    <row r="18" spans="1:14" x14ac:dyDescent="0.25">
      <c r="B18" s="1"/>
      <c r="C18" s="1"/>
      <c r="D18" s="12"/>
      <c r="E18" s="12"/>
      <c r="F18" s="1"/>
      <c r="G18" s="12"/>
      <c r="H18" s="12"/>
      <c r="I18" s="1"/>
      <c r="J18" s="12"/>
      <c r="K18" s="12"/>
      <c r="L18" s="1"/>
      <c r="M18" s="1"/>
      <c r="N18" s="1"/>
    </row>
    <row r="19" spans="1:14" x14ac:dyDescent="0.25">
      <c r="B19" s="1">
        <f>B16-B15</f>
        <v>0</v>
      </c>
      <c r="C19" s="1">
        <f>C16-C15</f>
        <v>-38049.1</v>
      </c>
      <c r="D19" s="1"/>
      <c r="E19" s="1"/>
      <c r="F19" s="1">
        <f>F16-F15</f>
        <v>0</v>
      </c>
      <c r="G19" s="1"/>
      <c r="H19" s="1"/>
      <c r="I19" s="1">
        <f t="shared" ref="I19" si="5">I16-I15</f>
        <v>0</v>
      </c>
      <c r="J19" s="1"/>
      <c r="K19" s="1"/>
      <c r="L19" s="1">
        <f>L16-L15</f>
        <v>-38049.1</v>
      </c>
      <c r="M19" s="1"/>
      <c r="N19" s="1"/>
    </row>
    <row r="20" spans="1:14" x14ac:dyDescent="0.25">
      <c r="B20" s="1">
        <f>B14+B16-B15</f>
        <v>22138625</v>
      </c>
      <c r="C20" s="1">
        <f>C14+C16-C15</f>
        <v>2223632.9</v>
      </c>
      <c r="D20" s="1"/>
      <c r="E20" s="1"/>
      <c r="F20" s="1">
        <f t="shared" ref="F20" si="6">F14+F16-F15</f>
        <v>799064</v>
      </c>
      <c r="G20" s="1"/>
      <c r="H20" s="1"/>
      <c r="I20" s="1">
        <f t="shared" ref="I20" si="7">I14+I16-I15</f>
        <v>5092511</v>
      </c>
      <c r="J20" s="1"/>
      <c r="K20" s="1"/>
      <c r="L20" s="1">
        <f>L14+L16-L15</f>
        <v>30253832.899999999</v>
      </c>
      <c r="M20" s="1"/>
      <c r="N20" s="1"/>
    </row>
    <row r="21" spans="1:14" x14ac:dyDescent="0.25">
      <c r="D21" s="1"/>
      <c r="I21" s="4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1"/>
  <sheetViews>
    <sheetView workbookViewId="0">
      <selection activeCell="C3" sqref="C3"/>
    </sheetView>
  </sheetViews>
  <sheetFormatPr defaultRowHeight="15" outlineLevelCol="1" x14ac:dyDescent="0.25"/>
  <cols>
    <col min="1" max="1" width="78.42578125" customWidth="1"/>
    <col min="2" max="2" width="16.7109375" bestFit="1" customWidth="1"/>
    <col min="3" max="3" width="15.5703125" bestFit="1" customWidth="1"/>
    <col min="4" max="5" width="15.42578125" customWidth="1" outlineLevel="1"/>
    <col min="6" max="6" width="15.42578125" bestFit="1" customWidth="1"/>
    <col min="7" max="8" width="15.42578125" customWidth="1" outlineLevel="1"/>
    <col min="9" max="9" width="15.42578125" customWidth="1"/>
    <col min="10" max="11" width="15.42578125" customWidth="1" outlineLevel="1"/>
    <col min="12" max="12" width="16.42578125" bestFit="1" customWidth="1"/>
  </cols>
  <sheetData>
    <row r="1" spans="1:14" x14ac:dyDescent="0.25">
      <c r="A1" s="2" t="s">
        <v>56</v>
      </c>
      <c r="G1" s="13"/>
      <c r="H1" s="13"/>
      <c r="I1" s="13"/>
      <c r="J1" s="13"/>
      <c r="K1" s="13"/>
    </row>
    <row r="2" spans="1:14" x14ac:dyDescent="0.25">
      <c r="A2" s="3" t="s">
        <v>1</v>
      </c>
      <c r="B2" s="4" t="s">
        <v>2</v>
      </c>
      <c r="C2" s="4" t="s">
        <v>5</v>
      </c>
      <c r="D2" s="11" t="s">
        <v>51</v>
      </c>
      <c r="E2" s="11" t="s">
        <v>52</v>
      </c>
      <c r="F2" s="4" t="s">
        <v>6</v>
      </c>
      <c r="G2" s="11" t="s">
        <v>53</v>
      </c>
      <c r="H2" s="11" t="s">
        <v>54</v>
      </c>
      <c r="I2" s="4" t="s">
        <v>7</v>
      </c>
      <c r="J2" s="11" t="s">
        <v>55</v>
      </c>
      <c r="K2" s="11" t="s">
        <v>52</v>
      </c>
      <c r="L2" s="4" t="s">
        <v>48</v>
      </c>
    </row>
    <row r="3" spans="1:14" x14ac:dyDescent="0.25">
      <c r="A3" s="6" t="s">
        <v>10</v>
      </c>
      <c r="B3" s="5">
        <v>18417999</v>
      </c>
      <c r="C3" s="5">
        <v>2082757</v>
      </c>
      <c r="D3" s="9"/>
      <c r="E3" s="9">
        <f>D3-C3</f>
        <v>-2082757</v>
      </c>
      <c r="F3" s="5"/>
      <c r="G3" s="9"/>
      <c r="H3" s="9">
        <f>G3-F3</f>
        <v>0</v>
      </c>
      <c r="I3" s="5">
        <v>4127013</v>
      </c>
      <c r="J3" s="9"/>
      <c r="K3" s="9">
        <f>J3-I3</f>
        <v>-4127013</v>
      </c>
      <c r="L3" s="5">
        <f>B3+C3+F3+I3</f>
        <v>24627769</v>
      </c>
      <c r="M3" s="1"/>
      <c r="N3" s="1"/>
    </row>
    <row r="4" spans="1:14" ht="30" x14ac:dyDescent="0.25">
      <c r="A4" s="6" t="s">
        <v>11</v>
      </c>
      <c r="B4" s="5">
        <v>607000</v>
      </c>
      <c r="C4" s="5">
        <v>0</v>
      </c>
      <c r="D4" s="9"/>
      <c r="E4" s="9"/>
      <c r="F4" s="5">
        <v>660260</v>
      </c>
      <c r="G4" s="9"/>
      <c r="H4" s="9"/>
      <c r="I4" s="5">
        <v>0</v>
      </c>
      <c r="J4" s="9"/>
      <c r="K4" s="9"/>
      <c r="L4" s="5">
        <f>L5</f>
        <v>607000</v>
      </c>
      <c r="M4" s="1"/>
      <c r="N4" s="1"/>
    </row>
    <row r="5" spans="1:14" x14ac:dyDescent="0.25">
      <c r="A5" s="7" t="s">
        <v>12</v>
      </c>
      <c r="B5" s="5">
        <v>607000</v>
      </c>
      <c r="C5" s="5">
        <v>0</v>
      </c>
      <c r="D5" s="9"/>
      <c r="E5" s="9"/>
      <c r="F5" s="5">
        <v>0</v>
      </c>
      <c r="G5" s="9"/>
      <c r="H5" s="9"/>
      <c r="I5" s="5">
        <v>0</v>
      </c>
      <c r="J5" s="9"/>
      <c r="K5" s="9"/>
      <c r="L5" s="5">
        <f>B5+C5+F5+I5</f>
        <v>607000</v>
      </c>
      <c r="M5" s="1"/>
      <c r="N5" s="1"/>
    </row>
    <row r="6" spans="1:14" ht="30" x14ac:dyDescent="0.25">
      <c r="A6" s="6" t="s">
        <v>13</v>
      </c>
      <c r="B6" s="5">
        <f>B7+B8</f>
        <v>1435500</v>
      </c>
      <c r="C6" s="5">
        <f t="shared" ref="C6:F6" si="0">C7+C8</f>
        <v>745546.8</v>
      </c>
      <c r="D6" s="9"/>
      <c r="E6" s="9">
        <f>D6-C6</f>
        <v>-745546.8</v>
      </c>
      <c r="F6" s="5">
        <f t="shared" si="0"/>
        <v>0</v>
      </c>
      <c r="G6" s="9"/>
      <c r="H6" s="9">
        <f>G6-F6</f>
        <v>0</v>
      </c>
      <c r="I6" s="5">
        <f>I7+I8</f>
        <v>0</v>
      </c>
      <c r="J6" s="9"/>
      <c r="K6" s="9">
        <f>J6-I6</f>
        <v>0</v>
      </c>
      <c r="L6" s="5">
        <f>L7+L8</f>
        <v>2181046.8000000003</v>
      </c>
      <c r="M6" s="1"/>
      <c r="N6" s="1"/>
    </row>
    <row r="7" spans="1:14" x14ac:dyDescent="0.25">
      <c r="A7" s="7" t="s">
        <v>14</v>
      </c>
      <c r="B7" s="5">
        <v>1354778.85</v>
      </c>
      <c r="C7" s="5">
        <v>740910.3</v>
      </c>
      <c r="D7" s="9"/>
      <c r="E7" s="9"/>
      <c r="F7" s="5">
        <v>0</v>
      </c>
      <c r="G7" s="9"/>
      <c r="H7" s="9"/>
      <c r="I7" s="5">
        <v>0</v>
      </c>
      <c r="J7" s="9"/>
      <c r="K7" s="9"/>
      <c r="L7" s="5">
        <f>B7+C7+F7+I7</f>
        <v>2095689.1500000001</v>
      </c>
      <c r="M7" s="1"/>
      <c r="N7" s="1"/>
    </row>
    <row r="8" spans="1:14" x14ac:dyDescent="0.25">
      <c r="A8" s="7" t="s">
        <v>15</v>
      </c>
      <c r="B8" s="5">
        <v>80721.149999999994</v>
      </c>
      <c r="C8" s="5">
        <v>4636.5</v>
      </c>
      <c r="D8" s="9"/>
      <c r="E8" s="9"/>
      <c r="F8" s="5">
        <v>0</v>
      </c>
      <c r="G8" s="9"/>
      <c r="H8" s="9"/>
      <c r="I8" s="5">
        <v>0</v>
      </c>
      <c r="J8" s="9"/>
      <c r="K8" s="9"/>
      <c r="L8" s="5">
        <f>B8+C8+F8+I8</f>
        <v>85357.65</v>
      </c>
      <c r="M8" s="1"/>
      <c r="N8" s="1"/>
    </row>
    <row r="9" spans="1:14" ht="45" x14ac:dyDescent="0.25">
      <c r="A9" s="6" t="s">
        <v>16</v>
      </c>
      <c r="B9" s="5">
        <v>4963375</v>
      </c>
      <c r="C9" s="5">
        <v>562944.03</v>
      </c>
      <c r="D9" s="9"/>
      <c r="E9" s="9">
        <f>D9-C9</f>
        <v>-562944.03</v>
      </c>
      <c r="F9" s="5">
        <v>165065</v>
      </c>
      <c r="G9" s="9">
        <v>159813</v>
      </c>
      <c r="H9" s="9">
        <f>G9-F9</f>
        <v>-5252</v>
      </c>
      <c r="I9" s="5">
        <v>1031753</v>
      </c>
      <c r="J9" s="9">
        <v>1018502</v>
      </c>
      <c r="K9" s="9">
        <f>J9-I9</f>
        <v>-13251</v>
      </c>
      <c r="L9" s="5">
        <f>B9+C9+F9+I9</f>
        <v>6723137.0300000003</v>
      </c>
      <c r="M9" s="1"/>
      <c r="N9" s="1"/>
    </row>
    <row r="10" spans="1:14" x14ac:dyDescent="0.25">
      <c r="A10" s="8" t="s">
        <v>17</v>
      </c>
      <c r="B10" s="9">
        <f>(B3+B6)*0.25</f>
        <v>4963374.75</v>
      </c>
      <c r="C10" s="9">
        <f t="shared" ref="C10:F10" si="1">(C3+C6)*0.25</f>
        <v>707075.95</v>
      </c>
      <c r="D10" s="9">
        <f t="shared" si="1"/>
        <v>0</v>
      </c>
      <c r="E10" s="9"/>
      <c r="F10" s="9">
        <f t="shared" si="1"/>
        <v>0</v>
      </c>
      <c r="G10" s="9"/>
      <c r="H10" s="9"/>
      <c r="I10" s="9"/>
      <c r="J10" s="9"/>
      <c r="K10" s="9"/>
      <c r="L10" s="9">
        <f>(L3+L6)*0.25</f>
        <v>6702203.9500000002</v>
      </c>
      <c r="M10" s="1"/>
      <c r="N10" s="1"/>
    </row>
    <row r="11" spans="1:14" x14ac:dyDescent="0.25">
      <c r="A11" s="8" t="s">
        <v>18</v>
      </c>
      <c r="B11" s="10">
        <f>B9/(B3+B6)</f>
        <v>0.25000001259223875</v>
      </c>
      <c r="C11" s="10">
        <f t="shared" ref="C11:G11" si="2">C9/(C3+C6)</f>
        <v>0.19903944901534271</v>
      </c>
      <c r="D11" s="10" t="e">
        <f t="shared" si="2"/>
        <v>#DIV/0!</v>
      </c>
      <c r="E11" s="10"/>
      <c r="F11" s="10" t="e">
        <f t="shared" si="2"/>
        <v>#DIV/0!</v>
      </c>
      <c r="G11" s="10" t="e">
        <f t="shared" si="2"/>
        <v>#DIV/0!</v>
      </c>
      <c r="H11" s="10"/>
      <c r="I11" s="10"/>
      <c r="J11" s="10"/>
      <c r="K11" s="10"/>
      <c r="L11" s="10">
        <f>L9/(L3+L6)</f>
        <v>0.25078082822293107</v>
      </c>
      <c r="M11" s="1"/>
      <c r="N11" s="1"/>
    </row>
    <row r="12" spans="1:14" x14ac:dyDescent="0.25">
      <c r="A12" s="6" t="s">
        <v>19</v>
      </c>
      <c r="B12" s="5">
        <f>B3+B4+B6+B9</f>
        <v>25423874</v>
      </c>
      <c r="C12" s="5">
        <f t="shared" ref="C12" si="3">C3+C4+C6+C9</f>
        <v>3391247.83</v>
      </c>
      <c r="D12" s="9">
        <f>D3+D6+D9</f>
        <v>0</v>
      </c>
      <c r="E12" s="9">
        <f>E3+E6+E9</f>
        <v>-3391247.83</v>
      </c>
      <c r="F12" s="5">
        <f>F3+F4+F6+F9</f>
        <v>825325</v>
      </c>
      <c r="G12" s="9">
        <f>G3+G4+G6+G9</f>
        <v>159813</v>
      </c>
      <c r="H12" s="9">
        <f>H3+H4+H6+H9</f>
        <v>-5252</v>
      </c>
      <c r="I12" s="5">
        <f>I3+I4+I6+I9</f>
        <v>5158766</v>
      </c>
      <c r="J12" s="9">
        <f t="shared" ref="J12:K12" si="4">J3+J4+J6+J9</f>
        <v>1018502</v>
      </c>
      <c r="K12" s="9">
        <f t="shared" si="4"/>
        <v>-4140264</v>
      </c>
      <c r="L12" s="5">
        <f>L3+L4+L6+L9</f>
        <v>34138952.829999998</v>
      </c>
      <c r="M12" s="1"/>
      <c r="N12" s="1"/>
    </row>
    <row r="13" spans="1:14" x14ac:dyDescent="0.25">
      <c r="A13" s="6"/>
      <c r="B13" s="5"/>
      <c r="C13" s="5"/>
      <c r="D13" s="9"/>
      <c r="E13" s="9"/>
      <c r="F13" s="5"/>
      <c r="G13" s="9"/>
      <c r="H13" s="9"/>
      <c r="I13" s="5"/>
      <c r="J13" s="9"/>
      <c r="K13" s="9"/>
      <c r="L13" s="5"/>
      <c r="M13" s="1"/>
      <c r="N13" s="1"/>
    </row>
    <row r="14" spans="1:14" x14ac:dyDescent="0.25">
      <c r="A14" s="6" t="s">
        <v>43</v>
      </c>
      <c r="B14" s="5">
        <v>0</v>
      </c>
      <c r="C14" s="5">
        <v>3405379</v>
      </c>
      <c r="D14" s="9"/>
      <c r="E14" s="9"/>
      <c r="F14" s="5">
        <v>825325</v>
      </c>
      <c r="G14" s="9"/>
      <c r="H14" s="9"/>
      <c r="I14" s="5">
        <v>5158776</v>
      </c>
      <c r="J14" s="9"/>
      <c r="K14" s="9"/>
      <c r="L14" s="5">
        <f>B14+C14+F14+I14</f>
        <v>9389480</v>
      </c>
      <c r="M14" s="1"/>
      <c r="N14" s="1"/>
    </row>
    <row r="15" spans="1:14" x14ac:dyDescent="0.25">
      <c r="A15" s="6" t="s">
        <v>49</v>
      </c>
      <c r="B15" s="5">
        <v>0</v>
      </c>
      <c r="C15" s="5">
        <v>0</v>
      </c>
      <c r="D15" s="9"/>
      <c r="E15" s="9"/>
      <c r="F15" s="5">
        <v>0</v>
      </c>
      <c r="G15" s="9"/>
      <c r="H15" s="9"/>
      <c r="I15" s="5">
        <v>0</v>
      </c>
      <c r="J15" s="9"/>
      <c r="K15" s="9"/>
      <c r="L15" s="5">
        <f>B15+C15+F15+I15</f>
        <v>0</v>
      </c>
      <c r="M15" s="1"/>
      <c r="N15" s="1"/>
    </row>
    <row r="16" spans="1:14" ht="30" x14ac:dyDescent="0.25">
      <c r="A16" s="6" t="s">
        <v>57</v>
      </c>
      <c r="B16" s="5">
        <v>0</v>
      </c>
      <c r="C16" s="5">
        <v>80778.5</v>
      </c>
      <c r="D16" s="9"/>
      <c r="E16" s="9"/>
      <c r="F16" s="5">
        <v>0</v>
      </c>
      <c r="G16" s="9"/>
      <c r="H16" s="9"/>
      <c r="I16" s="5">
        <v>0</v>
      </c>
      <c r="J16" s="9"/>
      <c r="K16" s="9"/>
      <c r="L16" s="5">
        <f>B16+C16+F16+I16</f>
        <v>80778.5</v>
      </c>
      <c r="M16" s="1"/>
      <c r="N16" s="1"/>
    </row>
    <row r="17" spans="1:14" x14ac:dyDescent="0.25">
      <c r="A17" s="6" t="s">
        <v>46</v>
      </c>
      <c r="B17" s="5">
        <v>0</v>
      </c>
      <c r="C17" s="5">
        <v>94909.67</v>
      </c>
      <c r="D17" s="9"/>
      <c r="E17" s="9"/>
      <c r="F17" s="5">
        <v>0</v>
      </c>
      <c r="G17" s="9"/>
      <c r="H17" s="9"/>
      <c r="I17" s="5">
        <v>0</v>
      </c>
      <c r="J17" s="9"/>
      <c r="K17" s="9"/>
      <c r="L17" s="5">
        <f>B17+C17+F17+I17</f>
        <v>94909.67</v>
      </c>
      <c r="M17" s="1"/>
      <c r="N17" s="1"/>
    </row>
    <row r="18" spans="1:14" x14ac:dyDescent="0.25">
      <c r="B18" s="1"/>
      <c r="C18" s="1"/>
      <c r="D18" s="12"/>
      <c r="E18" s="12"/>
      <c r="F18" s="1"/>
      <c r="G18" s="12"/>
      <c r="H18" s="12"/>
      <c r="I18" s="1"/>
      <c r="J18" s="12"/>
      <c r="K18" s="12"/>
      <c r="L18" s="1"/>
      <c r="M18" s="1"/>
      <c r="N18" s="1"/>
    </row>
    <row r="19" spans="1:14" x14ac:dyDescent="0.25">
      <c r="B19" s="1">
        <f>B16-B15</f>
        <v>0</v>
      </c>
      <c r="C19" s="1">
        <f>C16-C15</f>
        <v>80778.5</v>
      </c>
      <c r="D19" s="1"/>
      <c r="E19" s="1"/>
      <c r="F19" s="1">
        <f>F16-F15</f>
        <v>0</v>
      </c>
      <c r="G19" s="1"/>
      <c r="H19" s="1"/>
      <c r="I19" s="1">
        <f t="shared" ref="I19" si="5">I16-I15</f>
        <v>0</v>
      </c>
      <c r="J19" s="1"/>
      <c r="K19" s="1"/>
      <c r="L19" s="1">
        <f>L16-L15</f>
        <v>80778.5</v>
      </c>
      <c r="M19" s="1"/>
      <c r="N19" s="1"/>
    </row>
    <row r="20" spans="1:14" x14ac:dyDescent="0.25">
      <c r="B20" s="1">
        <f>B14+B16-B15</f>
        <v>0</v>
      </c>
      <c r="C20" s="1">
        <f>C14+C16-C15</f>
        <v>3486157.5</v>
      </c>
      <c r="D20" s="1"/>
      <c r="E20" s="1"/>
      <c r="F20" s="1">
        <f t="shared" ref="F20" si="6">F14+F16-F15</f>
        <v>825325</v>
      </c>
      <c r="G20" s="1"/>
      <c r="H20" s="1"/>
      <c r="I20" s="1">
        <f t="shared" ref="I20" si="7">I14+I16-I15</f>
        <v>5158776</v>
      </c>
      <c r="J20" s="1"/>
      <c r="K20" s="1"/>
      <c r="L20" s="1">
        <f>L14+L16-L15</f>
        <v>9470258.5</v>
      </c>
      <c r="M20" s="1"/>
      <c r="N20" s="1"/>
    </row>
    <row r="21" spans="1:14" x14ac:dyDescent="0.25">
      <c r="I21" s="4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1"/>
  <sheetViews>
    <sheetView workbookViewId="0">
      <selection activeCell="C3" sqref="C3"/>
    </sheetView>
  </sheetViews>
  <sheetFormatPr defaultRowHeight="15" outlineLevelCol="1" x14ac:dyDescent="0.25"/>
  <cols>
    <col min="1" max="1" width="78.42578125" customWidth="1"/>
    <col min="2" max="2" width="16.42578125" bestFit="1" customWidth="1"/>
    <col min="3" max="3" width="15.42578125" bestFit="1" customWidth="1"/>
    <col min="4" max="5" width="15.42578125" customWidth="1" outlineLevel="1"/>
    <col min="6" max="6" width="15.42578125" bestFit="1" customWidth="1"/>
    <col min="7" max="8" width="15.42578125" customWidth="1" outlineLevel="1"/>
    <col min="9" max="9" width="18.7109375" customWidth="1"/>
    <col min="10" max="10" width="15.42578125" customWidth="1" outlineLevel="1"/>
    <col min="11" max="11" width="17.28515625" customWidth="1" outlineLevel="1"/>
    <col min="12" max="12" width="16.42578125" bestFit="1" customWidth="1"/>
  </cols>
  <sheetData>
    <row r="1" spans="1:14" x14ac:dyDescent="0.25">
      <c r="A1" s="2" t="s">
        <v>56</v>
      </c>
      <c r="G1" s="13"/>
      <c r="H1" s="13"/>
      <c r="I1" s="13"/>
      <c r="J1" s="13"/>
      <c r="K1" s="13"/>
    </row>
    <row r="2" spans="1:14" x14ac:dyDescent="0.25">
      <c r="A2" s="3" t="s">
        <v>1</v>
      </c>
      <c r="B2" s="4" t="s">
        <v>2</v>
      </c>
      <c r="C2" s="4" t="s">
        <v>5</v>
      </c>
      <c r="D2" s="11" t="s">
        <v>51</v>
      </c>
      <c r="E2" s="11" t="s">
        <v>52</v>
      </c>
      <c r="F2" s="4" t="s">
        <v>6</v>
      </c>
      <c r="G2" s="11" t="s">
        <v>53</v>
      </c>
      <c r="H2" s="11" t="s">
        <v>54</v>
      </c>
      <c r="I2" s="4" t="s">
        <v>7</v>
      </c>
      <c r="J2" s="11" t="s">
        <v>55</v>
      </c>
      <c r="K2" s="11" t="s">
        <v>52</v>
      </c>
      <c r="L2" s="4" t="s">
        <v>48</v>
      </c>
    </row>
    <row r="3" spans="1:14" x14ac:dyDescent="0.25">
      <c r="A3" s="6" t="s">
        <v>10</v>
      </c>
      <c r="B3" s="5">
        <f>'2021.'!B3+'2022'!B3+'2023'!B3+'2024'!B3</f>
        <v>47673499</v>
      </c>
      <c r="C3" s="5">
        <f>'2021.'!E3+'2022'!C3+'2023'!C3+'2024'!C3</f>
        <v>5151869</v>
      </c>
      <c r="D3" s="9"/>
      <c r="E3" s="9">
        <f>D3-C3</f>
        <v>-5151869</v>
      </c>
      <c r="F3" s="5">
        <f>'2021.'!H3+'2022'!D3+'2023'!F3+'2024'!F3</f>
        <v>1875738</v>
      </c>
      <c r="G3" s="9"/>
      <c r="H3" s="9">
        <f>G3-F3</f>
        <v>-1875738</v>
      </c>
      <c r="I3" s="5">
        <f>'2021.'!K3+'2022'!E3+'2023'!I3+'2024'!I3</f>
        <v>18052382</v>
      </c>
      <c r="J3" s="9"/>
      <c r="K3" s="9">
        <f>J3-I3</f>
        <v>-18052382</v>
      </c>
      <c r="L3" s="5">
        <f>B3+C3+F3+I3</f>
        <v>72753488</v>
      </c>
      <c r="M3" s="1"/>
      <c r="N3" s="1"/>
    </row>
    <row r="4" spans="1:14" ht="30" x14ac:dyDescent="0.25">
      <c r="A4" s="6" t="s">
        <v>11</v>
      </c>
      <c r="B4" s="5">
        <f>B5</f>
        <v>1486000</v>
      </c>
      <c r="C4" s="5">
        <f t="shared" ref="C4:F4" si="0">C5</f>
        <v>0</v>
      </c>
      <c r="D4" s="9"/>
      <c r="E4" s="9"/>
      <c r="F4" s="5">
        <f t="shared" si="0"/>
        <v>0</v>
      </c>
      <c r="G4" s="9"/>
      <c r="H4" s="9"/>
      <c r="I4" s="5"/>
      <c r="J4" s="9"/>
      <c r="K4" s="9"/>
      <c r="L4" s="5">
        <f>L5</f>
        <v>1486000</v>
      </c>
      <c r="M4" s="1"/>
      <c r="N4" s="1"/>
    </row>
    <row r="5" spans="1:14" x14ac:dyDescent="0.25">
      <c r="A5" s="7" t="s">
        <v>12</v>
      </c>
      <c r="B5" s="5">
        <f>'2021.'!B5+'2022'!B5+'2023'!B5+'2024'!B5</f>
        <v>1486000</v>
      </c>
      <c r="C5" s="5">
        <f>'2021.'!E5+'2022'!C5+'2023'!C5+'2024'!C5</f>
        <v>0</v>
      </c>
      <c r="D5" s="9"/>
      <c r="E5" s="9"/>
      <c r="F5" s="5">
        <v>0</v>
      </c>
      <c r="G5" s="9"/>
      <c r="H5" s="9"/>
      <c r="I5" s="5">
        <f>I4</f>
        <v>0</v>
      </c>
      <c r="J5" s="9"/>
      <c r="K5" s="9"/>
      <c r="L5" s="5">
        <f>B5+C5+F5+I5</f>
        <v>1486000</v>
      </c>
      <c r="M5" s="1"/>
      <c r="N5" s="1"/>
    </row>
    <row r="6" spans="1:14" ht="30" x14ac:dyDescent="0.25">
      <c r="A6" s="6" t="s">
        <v>13</v>
      </c>
      <c r="B6" s="5">
        <f>B7+B8</f>
        <v>3874000</v>
      </c>
      <c r="C6" s="5">
        <f t="shared" ref="C6:F6" si="1">C7+C8</f>
        <v>1119752.22</v>
      </c>
      <c r="D6" s="9"/>
      <c r="E6" s="9">
        <f>D6-C6</f>
        <v>-1119752.22</v>
      </c>
      <c r="F6" s="5">
        <f t="shared" si="1"/>
        <v>0</v>
      </c>
      <c r="G6" s="9"/>
      <c r="H6" s="9">
        <f>G6-F6</f>
        <v>0</v>
      </c>
      <c r="I6" s="5">
        <f>I7+I8</f>
        <v>351500</v>
      </c>
      <c r="J6" s="9"/>
      <c r="K6" s="9">
        <f>J6-I6</f>
        <v>-351500</v>
      </c>
      <c r="L6" s="5">
        <f>L7+L8</f>
        <v>5345252.2200000007</v>
      </c>
      <c r="M6" s="1"/>
      <c r="N6" s="1"/>
    </row>
    <row r="7" spans="1:14" x14ac:dyDescent="0.25">
      <c r="A7" s="7" t="s">
        <v>14</v>
      </c>
      <c r="B7" s="5">
        <f>'2021.'!B7+'2022'!B7+'2023'!B7+'2024'!B7</f>
        <v>3552578.39</v>
      </c>
      <c r="C7" s="5">
        <f>'2021.'!E7+'2022'!C7+'2023'!C7+'2024'!C7</f>
        <v>1115115.72</v>
      </c>
      <c r="D7" s="9"/>
      <c r="E7" s="9"/>
      <c r="F7" s="5"/>
      <c r="G7" s="9"/>
      <c r="H7" s="9"/>
      <c r="I7" s="5">
        <f>'2021.'!K7+'2022'!E7+'2023'!I7+'2024'!I7</f>
        <v>351500</v>
      </c>
      <c r="J7" s="9"/>
      <c r="K7" s="9"/>
      <c r="L7" s="5">
        <f>B7+C7+F7+I7</f>
        <v>5019194.1100000003</v>
      </c>
      <c r="M7" s="1"/>
      <c r="N7" s="1"/>
    </row>
    <row r="8" spans="1:14" x14ac:dyDescent="0.25">
      <c r="A8" s="7" t="s">
        <v>15</v>
      </c>
      <c r="B8" s="5">
        <f>'2021.'!B8+'2022'!B8+'2023'!B8+'2024'!B8</f>
        <v>321421.61</v>
      </c>
      <c r="C8" s="5">
        <f>'2021.'!E8+'2022'!C8+'2023'!C8+'2024'!C8</f>
        <v>4636.5</v>
      </c>
      <c r="D8" s="9"/>
      <c r="E8" s="9"/>
      <c r="F8" s="5">
        <f>'2021.'!H7+'2022'!D7+'2023'!F7+'2024'!F7</f>
        <v>0</v>
      </c>
      <c r="G8" s="9"/>
      <c r="H8" s="9"/>
      <c r="I8" s="5"/>
      <c r="J8" s="9"/>
      <c r="K8" s="9"/>
      <c r="L8" s="5">
        <f>B8+C8+F8+I8</f>
        <v>326058.11</v>
      </c>
      <c r="M8" s="1"/>
      <c r="N8" s="1"/>
    </row>
    <row r="9" spans="1:14" ht="45" x14ac:dyDescent="0.25">
      <c r="A9" s="6" t="s">
        <v>16</v>
      </c>
      <c r="B9" s="5">
        <f>'2021.'!B9+'2022'!B9+'2023'!B9+'2024'!B9</f>
        <v>12886874</v>
      </c>
      <c r="C9" s="5">
        <f>'2021.'!E9+'2022'!C9+'2023'!C9+'2024'!C9</f>
        <v>1163931.1100000001</v>
      </c>
      <c r="D9" s="9">
        <v>369607</v>
      </c>
      <c r="E9" s="9">
        <f>D9-C9</f>
        <v>-794324.1100000001</v>
      </c>
      <c r="F9" s="5">
        <f>'2021.'!H9+'2022'!D9+'2023'!F9+'2024'!F9</f>
        <v>634000</v>
      </c>
      <c r="G9" s="9">
        <v>159813</v>
      </c>
      <c r="H9" s="9">
        <f>G9-F9</f>
        <v>-474187</v>
      </c>
      <c r="I9" s="5">
        <f>'2021.'!K9+'2022'!E9+'2023'!I9+'2024'!I9</f>
        <v>4600970</v>
      </c>
      <c r="J9" s="9">
        <v>1018502</v>
      </c>
      <c r="K9" s="9">
        <f>J9-I9</f>
        <v>-3582468</v>
      </c>
      <c r="L9" s="5">
        <f>B9+C9+F9+I9</f>
        <v>19285775.109999999</v>
      </c>
      <c r="M9" s="1"/>
      <c r="N9" s="1"/>
    </row>
    <row r="10" spans="1:14" x14ac:dyDescent="0.25">
      <c r="A10" s="8" t="s">
        <v>17</v>
      </c>
      <c r="B10" s="9">
        <f>(B3+B6)*0.25</f>
        <v>12886874.75</v>
      </c>
      <c r="C10" s="9">
        <f t="shared" ref="C10:F10" si="2">(C3+C6)*0.25</f>
        <v>1567905.3049999999</v>
      </c>
      <c r="D10" s="9">
        <f t="shared" si="2"/>
        <v>0</v>
      </c>
      <c r="E10" s="9"/>
      <c r="F10" s="9">
        <f t="shared" si="2"/>
        <v>468934.5</v>
      </c>
      <c r="G10" s="9"/>
      <c r="H10" s="9"/>
      <c r="I10" s="9"/>
      <c r="J10" s="9"/>
      <c r="K10" s="9"/>
      <c r="L10" s="9">
        <f>(L3+L6)*0.25</f>
        <v>19524685.055</v>
      </c>
      <c r="M10" s="1"/>
      <c r="N10" s="1"/>
    </row>
    <row r="11" spans="1:14" x14ac:dyDescent="0.25">
      <c r="A11" s="8" t="s">
        <v>18</v>
      </c>
      <c r="B11" s="10">
        <f>B9/(B3+B6)</f>
        <v>0.24999998545031255</v>
      </c>
      <c r="C11" s="10">
        <f t="shared" ref="C11:G11" si="3">C9/(C3+C6)</f>
        <v>0.18558695896497399</v>
      </c>
      <c r="D11" s="10" t="e">
        <f t="shared" si="3"/>
        <v>#DIV/0!</v>
      </c>
      <c r="E11" s="10"/>
      <c r="F11" s="10">
        <f t="shared" si="3"/>
        <v>0.33800029641666374</v>
      </c>
      <c r="G11" s="10" t="e">
        <f t="shared" si="3"/>
        <v>#DIV/0!</v>
      </c>
      <c r="H11" s="10"/>
      <c r="I11" s="10"/>
      <c r="J11" s="10"/>
      <c r="K11" s="10"/>
      <c r="L11" s="10">
        <f>L9/(L3+L6)</f>
        <v>0.24694092447167518</v>
      </c>
      <c r="M11" s="1"/>
      <c r="N11" s="1"/>
    </row>
    <row r="12" spans="1:14" x14ac:dyDescent="0.25">
      <c r="A12" s="6" t="s">
        <v>19</v>
      </c>
      <c r="B12" s="5">
        <f>B3+B4+B6+B9</f>
        <v>65920373</v>
      </c>
      <c r="C12" s="5">
        <f t="shared" ref="C12" si="4">C3+C4+C6+C9</f>
        <v>7435552.3300000001</v>
      </c>
      <c r="D12" s="9">
        <f>D3+D6+D9</f>
        <v>369607</v>
      </c>
      <c r="E12" s="9">
        <f>E3+E6+E9</f>
        <v>-7065945.3300000001</v>
      </c>
      <c r="F12" s="5">
        <f>F3+F4+F6+F9</f>
        <v>2509738</v>
      </c>
      <c r="G12" s="9">
        <f>G3+G4+G6+G9</f>
        <v>159813</v>
      </c>
      <c r="H12" s="9">
        <f>H3+H4+H6+H9</f>
        <v>-2349925</v>
      </c>
      <c r="I12" s="5">
        <f>I3+I4+I6+I9</f>
        <v>23004852</v>
      </c>
      <c r="J12" s="9">
        <f t="shared" ref="J12:K12" si="5">J3+J4+J6+J9</f>
        <v>1018502</v>
      </c>
      <c r="K12" s="9">
        <f t="shared" si="5"/>
        <v>-21986350</v>
      </c>
      <c r="L12" s="5">
        <f>L3+L4+L6+L9</f>
        <v>98870515.329999998</v>
      </c>
      <c r="M12" s="1"/>
      <c r="N12" s="1"/>
    </row>
    <row r="13" spans="1:14" x14ac:dyDescent="0.25">
      <c r="A13" s="6"/>
      <c r="B13" s="5"/>
      <c r="C13" s="5"/>
      <c r="D13" s="9"/>
      <c r="E13" s="9"/>
      <c r="F13" s="5"/>
      <c r="G13" s="9"/>
      <c r="H13" s="9"/>
      <c r="I13" s="5"/>
      <c r="J13" s="9"/>
      <c r="K13" s="9"/>
      <c r="L13" s="5"/>
      <c r="M13" s="1"/>
      <c r="N13" s="1"/>
    </row>
    <row r="14" spans="1:14" x14ac:dyDescent="0.25">
      <c r="A14" s="6" t="s">
        <v>43</v>
      </c>
      <c r="B14" s="5">
        <f>'2021.'!B14+'2022'!B14+'2023'!B14+'2024'!B14</f>
        <v>40496499</v>
      </c>
      <c r="C14" s="5">
        <f>'2021.'!E14+'2022'!C14+'2023'!C14+'2024'!C14</f>
        <v>7530462</v>
      </c>
      <c r="D14" s="9"/>
      <c r="E14" s="9"/>
      <c r="F14" s="5">
        <f>'2021.'!H14+'2022'!D14+'2023'!F14+'2024'!F14</f>
        <v>3169998</v>
      </c>
      <c r="G14" s="9"/>
      <c r="H14" s="9"/>
      <c r="I14" s="5">
        <f>'2021.'!K14+'2022'!E14+'2023'!I14+'2024'!I14</f>
        <v>23004862</v>
      </c>
      <c r="J14" s="9"/>
      <c r="K14" s="9"/>
      <c r="L14" s="5">
        <f>B14+C14+F14+I14</f>
        <v>74201821</v>
      </c>
      <c r="M14" s="1"/>
      <c r="N14" s="1"/>
    </row>
    <row r="15" spans="1:14" x14ac:dyDescent="0.25">
      <c r="A15" s="6" t="s">
        <v>49</v>
      </c>
      <c r="B15" s="5">
        <v>0</v>
      </c>
      <c r="C15" s="5">
        <f>'2021.'!E15+'2022'!C15+'2023'!C15+'2024'!C15</f>
        <v>164544.89000000001</v>
      </c>
      <c r="D15" s="9"/>
      <c r="E15" s="9"/>
      <c r="F15" s="5">
        <f>'2021.'!H15+'2022'!D15+'2023'!F15+'2024'!F15</f>
        <v>0</v>
      </c>
      <c r="G15" s="9"/>
      <c r="H15" s="9"/>
      <c r="I15" s="5">
        <f>'2021.'!K15+'2022'!E15+'2023'!I15+'2024'!I15</f>
        <v>0</v>
      </c>
      <c r="J15" s="9"/>
      <c r="K15" s="9"/>
      <c r="L15" s="5">
        <f>B15+C15+F15+I15</f>
        <v>164544.89000000001</v>
      </c>
      <c r="M15" s="1"/>
      <c r="N15" s="1"/>
    </row>
    <row r="16" spans="1:14" ht="30" x14ac:dyDescent="0.25">
      <c r="A16" s="6" t="s">
        <v>57</v>
      </c>
      <c r="B16" s="5">
        <v>0</v>
      </c>
      <c r="C16" s="5">
        <f>'2021.'!E16+'2022'!C16+'2023'!C16+'2024'!C16</f>
        <v>164544.89000000001</v>
      </c>
      <c r="D16" s="9"/>
      <c r="E16" s="9"/>
      <c r="F16" s="5">
        <f>'2021.'!H16+'2022'!D16+'2023'!F16+'2024'!F16</f>
        <v>0</v>
      </c>
      <c r="G16" s="9"/>
      <c r="H16" s="9"/>
      <c r="I16" s="5">
        <f>'2021.'!K16+'2022'!E16+'2023'!I16+'2024'!I16</f>
        <v>0</v>
      </c>
      <c r="J16" s="9"/>
      <c r="K16" s="9"/>
      <c r="L16" s="5">
        <f>B16+C16+F16+I16</f>
        <v>164544.89000000001</v>
      </c>
      <c r="M16" s="1"/>
      <c r="N16" s="1"/>
    </row>
    <row r="17" spans="1:14" x14ac:dyDescent="0.25">
      <c r="A17" s="6" t="s">
        <v>46</v>
      </c>
      <c r="B17" s="5">
        <v>0</v>
      </c>
      <c r="C17" s="5">
        <f>'2021.'!E17+'2022'!C17+'2023'!C17+'2024'!C17</f>
        <v>94909.67</v>
      </c>
      <c r="D17" s="9"/>
      <c r="E17" s="9"/>
      <c r="F17" s="5">
        <f>'2021.'!H17+'2022'!D17+'2023'!F17+'2024'!F17</f>
        <v>0</v>
      </c>
      <c r="G17" s="9"/>
      <c r="H17" s="9"/>
      <c r="I17" s="5">
        <f>'2021.'!K17+'2022'!E17+'2023'!I17+'2024'!I17</f>
        <v>0</v>
      </c>
      <c r="J17" s="9"/>
      <c r="K17" s="9"/>
      <c r="L17" s="5">
        <v>0</v>
      </c>
      <c r="M17" s="1"/>
      <c r="N17" s="1"/>
    </row>
    <row r="18" spans="1:14" x14ac:dyDescent="0.25">
      <c r="B18" s="1"/>
      <c r="C18" s="1"/>
      <c r="D18" s="12"/>
      <c r="E18" s="12"/>
      <c r="F18" s="1"/>
      <c r="G18" s="12"/>
      <c r="H18" s="12"/>
      <c r="I18" s="1"/>
      <c r="J18" s="12"/>
      <c r="K18" s="12"/>
      <c r="L18" s="1"/>
      <c r="M18" s="1"/>
      <c r="N18" s="1"/>
    </row>
    <row r="19" spans="1:14" x14ac:dyDescent="0.25">
      <c r="B19" s="1">
        <f>B16-B15</f>
        <v>0</v>
      </c>
      <c r="C19" s="1">
        <f>C16-C15</f>
        <v>0</v>
      </c>
      <c r="D19" s="1"/>
      <c r="E19" s="1"/>
      <c r="F19" s="1">
        <f>F16-F15</f>
        <v>0</v>
      </c>
      <c r="G19" s="1"/>
      <c r="H19" s="1"/>
      <c r="I19" s="1">
        <f t="shared" ref="I19" si="6">I16-I15</f>
        <v>0</v>
      </c>
      <c r="J19" s="1"/>
      <c r="K19" s="1"/>
      <c r="L19" s="1">
        <f>L16-L15</f>
        <v>0</v>
      </c>
      <c r="M19" s="1"/>
      <c r="N19" s="1"/>
    </row>
    <row r="20" spans="1:14" x14ac:dyDescent="0.25">
      <c r="B20" s="1">
        <f>B14+B16-B15</f>
        <v>40496499</v>
      </c>
      <c r="C20" s="1">
        <f>C14+C16-C15</f>
        <v>7530462</v>
      </c>
      <c r="D20" s="1"/>
      <c r="E20" s="1"/>
      <c r="F20" s="1">
        <f t="shared" ref="F20" si="7">F14+F16-F15</f>
        <v>3169998</v>
      </c>
      <c r="G20" s="1"/>
      <c r="H20" s="1"/>
      <c r="I20" s="1">
        <f t="shared" ref="I20" si="8">I14+I16-I15</f>
        <v>23004862</v>
      </c>
      <c r="J20" s="1"/>
      <c r="K20" s="1"/>
      <c r="L20" s="1">
        <f>L14+L16-L15</f>
        <v>74201821</v>
      </c>
      <c r="M20" s="1"/>
      <c r="N20" s="1"/>
    </row>
    <row r="21" spans="1:14" x14ac:dyDescent="0.25">
      <c r="I21" s="4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5BAFEF857B2E045B954D1595F5CE59E" ma:contentTypeVersion="4" ma:contentTypeDescription="Vytvoří nový dokument" ma:contentTypeScope="" ma:versionID="8122b7a57f3d9cb067b8866ed5cbe697">
  <xsd:schema xmlns:xsd="http://www.w3.org/2001/XMLSchema" xmlns:xs="http://www.w3.org/2001/XMLSchema" xmlns:p="http://schemas.microsoft.com/office/2006/metadata/properties" xmlns:ns2="8ea88e96-232c-4df6-bd66-7597bc11a5e5" targetNamespace="http://schemas.microsoft.com/office/2006/metadata/properties" ma:root="true" ma:fieldsID="f7dd8acfadf5e7cca96d6e871461efd1" ns2:_="">
    <xsd:import namespace="8ea88e96-232c-4df6-bd66-7597bc11a5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a88e96-232c-4df6-bd66-7597bc11a5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3E82DB-DE36-4616-B314-374C2C146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a88e96-232c-4df6-bd66-7597bc11a5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3C13CC-1891-4DCA-BFB7-64DD08758D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CB0B67-616C-4E22-ABEA-3D47247D29B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2021.</vt:lpstr>
      <vt:lpstr>2022.</vt:lpstr>
      <vt:lpstr>2023.</vt:lpstr>
      <vt:lpstr>2024.</vt:lpstr>
      <vt:lpstr>SUM.</vt:lpstr>
      <vt:lpstr>2022</vt:lpstr>
      <vt:lpstr>2023</vt:lpstr>
      <vt:lpstr>2024</vt:lpstr>
      <vt:lpstr>SUM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Panacek Marcel TC</dc:creator>
  <cp:keywords/>
  <dc:description/>
  <cp:lastModifiedBy>Brábníková Šárka</cp:lastModifiedBy>
  <cp:revision/>
  <dcterms:created xsi:type="dcterms:W3CDTF">2024-01-29T09:19:58Z</dcterms:created>
  <dcterms:modified xsi:type="dcterms:W3CDTF">2025-01-30T08:37:15Z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0x01010045BAFEF857B2E045B954D1595F5CE59E</vt:lpwstr>
  </property>
</Properties>
</file>