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0" yWindow="0" windowWidth="28800" windowHeight="16200"/>
  </bookViews>
  <sheets>
    <sheet name="VO_celkové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1" l="1"/>
  <c r="R222" i="1"/>
  <c r="A222" i="1"/>
  <c r="R221" i="1"/>
  <c r="A221" i="1"/>
  <c r="R220" i="1"/>
  <c r="A220" i="1"/>
  <c r="R219" i="1"/>
  <c r="A219" i="1"/>
  <c r="R218" i="1"/>
  <c r="A218" i="1"/>
  <c r="R217" i="1"/>
  <c r="A217" i="1"/>
  <c r="R216" i="1"/>
  <c r="A216" i="1"/>
  <c r="R215" i="1"/>
  <c r="A215" i="1"/>
  <c r="R214" i="1"/>
  <c r="A214" i="1"/>
  <c r="R213" i="1"/>
  <c r="A213" i="1"/>
  <c r="R212" i="1"/>
  <c r="A212" i="1"/>
  <c r="R211" i="1"/>
  <c r="A211" i="1"/>
  <c r="R210" i="1"/>
  <c r="A210" i="1"/>
  <c r="R209" i="1"/>
  <c r="A209" i="1"/>
  <c r="R208" i="1"/>
  <c r="A208" i="1"/>
  <c r="R207" i="1"/>
  <c r="A207" i="1"/>
  <c r="R206" i="1"/>
  <c r="A206" i="1"/>
  <c r="R205" i="1"/>
  <c r="A205" i="1"/>
  <c r="R204" i="1"/>
  <c r="A204" i="1"/>
  <c r="R203" i="1"/>
  <c r="A203" i="1"/>
  <c r="R202" i="1"/>
  <c r="A202" i="1"/>
  <c r="R201" i="1"/>
  <c r="A201" i="1"/>
  <c r="R200" i="1"/>
  <c r="A200" i="1"/>
  <c r="R199" i="1"/>
  <c r="A199" i="1"/>
  <c r="R198" i="1"/>
  <c r="A198" i="1"/>
  <c r="R197" i="1"/>
  <c r="A197" i="1"/>
  <c r="R196" i="1"/>
  <c r="A196" i="1"/>
  <c r="R195" i="1"/>
  <c r="A195" i="1"/>
  <c r="R194" i="1"/>
  <c r="A194" i="1"/>
  <c r="R193" i="1"/>
  <c r="A193" i="1"/>
  <c r="R192" i="1"/>
  <c r="A192" i="1"/>
  <c r="R191" i="1"/>
  <c r="A191" i="1"/>
  <c r="R190" i="1"/>
  <c r="R189" i="1"/>
  <c r="A189" i="1"/>
  <c r="R188" i="1"/>
  <c r="A188" i="1"/>
  <c r="R187" i="1"/>
  <c r="A187" i="1"/>
  <c r="R186" i="1"/>
  <c r="A186" i="1"/>
  <c r="R185" i="1"/>
  <c r="A185" i="1"/>
  <c r="R184" i="1"/>
  <c r="A184" i="1"/>
  <c r="R183" i="1"/>
  <c r="A183" i="1"/>
  <c r="R182" i="1"/>
  <c r="A182" i="1"/>
  <c r="R181" i="1"/>
  <c r="A181" i="1"/>
  <c r="R180" i="1"/>
  <c r="A180" i="1"/>
  <c r="R179" i="1"/>
  <c r="A179" i="1"/>
  <c r="R178" i="1"/>
  <c r="A178" i="1"/>
  <c r="R177" i="1"/>
  <c r="A177" i="1"/>
  <c r="R176" i="1"/>
  <c r="A176" i="1"/>
  <c r="R175" i="1"/>
  <c r="A175" i="1"/>
  <c r="R174" i="1"/>
  <c r="A174" i="1"/>
  <c r="R173" i="1"/>
  <c r="A173" i="1"/>
  <c r="R172" i="1"/>
  <c r="A172" i="1"/>
  <c r="R171" i="1"/>
  <c r="A171" i="1"/>
  <c r="R170" i="1"/>
  <c r="A170" i="1"/>
  <c r="R169" i="1"/>
  <c r="A169" i="1"/>
  <c r="R168" i="1"/>
  <c r="A168" i="1"/>
  <c r="R167" i="1"/>
  <c r="A167" i="1"/>
  <c r="R166" i="1"/>
  <c r="A166" i="1"/>
  <c r="R165" i="1"/>
  <c r="A165" i="1"/>
  <c r="R164" i="1"/>
  <c r="A164" i="1"/>
  <c r="R163" i="1"/>
  <c r="A163" i="1"/>
  <c r="R162" i="1"/>
  <c r="A162" i="1"/>
  <c r="R161" i="1"/>
  <c r="A161" i="1"/>
  <c r="R160" i="1"/>
  <c r="A160" i="1"/>
  <c r="R159" i="1"/>
  <c r="A159" i="1"/>
  <c r="R158" i="1"/>
  <c r="A158" i="1"/>
  <c r="R157" i="1"/>
  <c r="A157" i="1"/>
  <c r="R156" i="1"/>
  <c r="A156" i="1"/>
  <c r="R155" i="1"/>
  <c r="A155" i="1"/>
  <c r="R154" i="1"/>
  <c r="A154" i="1"/>
  <c r="R153" i="1"/>
  <c r="A153" i="1"/>
  <c r="R152" i="1"/>
  <c r="A152" i="1"/>
  <c r="R151" i="1"/>
  <c r="A151" i="1"/>
  <c r="R150" i="1"/>
  <c r="A150" i="1"/>
  <c r="R149" i="1"/>
  <c r="A149" i="1"/>
  <c r="R148" i="1"/>
  <c r="A148" i="1"/>
  <c r="R147" i="1"/>
  <c r="A147" i="1"/>
  <c r="R146" i="1"/>
  <c r="A146" i="1"/>
  <c r="R145" i="1"/>
  <c r="A145" i="1"/>
  <c r="R144" i="1"/>
  <c r="A144" i="1"/>
  <c r="R143" i="1"/>
  <c r="A143" i="1"/>
  <c r="R142" i="1"/>
  <c r="A142" i="1"/>
  <c r="R141" i="1"/>
  <c r="A141" i="1"/>
  <c r="R140" i="1"/>
  <c r="A140" i="1"/>
  <c r="R139" i="1"/>
  <c r="A139" i="1"/>
  <c r="R138" i="1"/>
  <c r="A138" i="1"/>
  <c r="R137" i="1"/>
  <c r="A137" i="1"/>
  <c r="R136" i="1"/>
  <c r="A136" i="1"/>
  <c r="R135" i="1"/>
  <c r="A135" i="1"/>
  <c r="R134" i="1"/>
  <c r="A134" i="1"/>
  <c r="R133" i="1"/>
  <c r="A133" i="1"/>
  <c r="R132" i="1"/>
  <c r="A132" i="1"/>
  <c r="R131" i="1"/>
  <c r="A131" i="1"/>
  <c r="R130" i="1"/>
  <c r="A130" i="1"/>
  <c r="R129" i="1"/>
  <c r="A129" i="1"/>
  <c r="R128" i="1"/>
  <c r="A128" i="1"/>
  <c r="R127" i="1"/>
  <c r="A127" i="1"/>
  <c r="R126" i="1"/>
  <c r="A126" i="1"/>
  <c r="R125" i="1"/>
  <c r="A125" i="1"/>
  <c r="R124" i="1"/>
  <c r="A124" i="1"/>
  <c r="R123" i="1"/>
  <c r="A123" i="1"/>
  <c r="R122" i="1"/>
  <c r="A122" i="1"/>
  <c r="R121" i="1"/>
  <c r="A121" i="1"/>
  <c r="R120" i="1"/>
  <c r="A120" i="1"/>
  <c r="R119" i="1"/>
  <c r="A119" i="1"/>
  <c r="R118" i="1"/>
  <c r="A118" i="1"/>
  <c r="R117" i="1"/>
  <c r="A117" i="1"/>
  <c r="R116" i="1"/>
  <c r="A116" i="1"/>
  <c r="R115" i="1"/>
  <c r="A115" i="1"/>
  <c r="R114" i="1"/>
  <c r="A114" i="1"/>
  <c r="R113" i="1"/>
  <c r="A113" i="1"/>
  <c r="R112" i="1"/>
  <c r="A112" i="1"/>
  <c r="R111" i="1"/>
  <c r="A111" i="1"/>
  <c r="R110" i="1"/>
  <c r="A110" i="1"/>
  <c r="R109" i="1"/>
  <c r="A109" i="1"/>
  <c r="R108" i="1"/>
  <c r="A108" i="1"/>
  <c r="R107" i="1"/>
  <c r="A107" i="1"/>
  <c r="R106" i="1"/>
  <c r="A106" i="1"/>
  <c r="R105" i="1"/>
  <c r="A105" i="1"/>
  <c r="R104" i="1"/>
  <c r="A104" i="1"/>
  <c r="R103" i="1"/>
  <c r="A103" i="1"/>
  <c r="R102" i="1"/>
  <c r="A102" i="1"/>
  <c r="R101" i="1"/>
  <c r="A101" i="1"/>
  <c r="R100" i="1"/>
  <c r="A100" i="1"/>
  <c r="R99" i="1"/>
  <c r="A99" i="1"/>
  <c r="R98" i="1"/>
  <c r="A98" i="1"/>
  <c r="R97" i="1"/>
  <c r="A97" i="1"/>
  <c r="R96" i="1"/>
  <c r="A96" i="1"/>
  <c r="R95" i="1"/>
  <c r="A95" i="1"/>
  <c r="R94" i="1"/>
  <c r="A94" i="1"/>
  <c r="R93" i="1"/>
  <c r="A93" i="1"/>
  <c r="R92" i="1"/>
  <c r="A92" i="1"/>
  <c r="R91" i="1"/>
  <c r="A91" i="1"/>
  <c r="R90" i="1"/>
  <c r="A90" i="1"/>
  <c r="R89" i="1"/>
  <c r="A89" i="1"/>
  <c r="R88" i="1"/>
  <c r="A88" i="1"/>
  <c r="R87" i="1"/>
  <c r="A87" i="1"/>
  <c r="R86" i="1"/>
  <c r="A86" i="1"/>
  <c r="R85" i="1"/>
  <c r="A85" i="1"/>
  <c r="R84" i="1"/>
  <c r="A84" i="1"/>
  <c r="R83" i="1"/>
  <c r="A83" i="1"/>
  <c r="R82" i="1"/>
  <c r="A82" i="1"/>
  <c r="R81" i="1"/>
  <c r="A81" i="1"/>
  <c r="R80" i="1"/>
  <c r="A80" i="1"/>
  <c r="R79" i="1"/>
  <c r="A79" i="1"/>
  <c r="R78" i="1"/>
  <c r="A78" i="1"/>
  <c r="R77" i="1"/>
  <c r="A77" i="1"/>
  <c r="R76" i="1"/>
  <c r="A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A17" i="1"/>
  <c r="R16" i="1"/>
  <c r="A16" i="1"/>
  <c r="R15" i="1"/>
  <c r="A15" i="1"/>
  <c r="R14" i="1"/>
  <c r="A14" i="1"/>
  <c r="R13" i="1"/>
  <c r="A13" i="1"/>
  <c r="R12" i="1"/>
  <c r="A12" i="1"/>
  <c r="R11" i="1"/>
  <c r="A11" i="1"/>
  <c r="R10" i="1"/>
  <c r="A10" i="1"/>
  <c r="R9" i="1"/>
  <c r="A9" i="1"/>
  <c r="R8" i="1"/>
  <c r="A8" i="1"/>
  <c r="R7" i="1"/>
  <c r="A7" i="1"/>
  <c r="R6" i="1"/>
  <c r="A6" i="1"/>
  <c r="A5" i="1"/>
</calcChain>
</file>

<file path=xl/sharedStrings.xml><?xml version="1.0" encoding="utf-8"?>
<sst xmlns="http://schemas.openxmlformats.org/spreadsheetml/2006/main" count="245" uniqueCount="245">
  <si>
    <t>Hodnocení výsledků výzkumných organizací v roce 2015: Výsledky výzkumných organizací</t>
  </si>
  <si>
    <t>4. etapa hodnocení</t>
  </si>
  <si>
    <t>Výzkumná organizace</t>
  </si>
  <si>
    <t>Pilíř I</t>
  </si>
  <si>
    <t>Pilíř II - ERC granty</t>
  </si>
  <si>
    <t>Pilíř II - excelentní výsledky</t>
  </si>
  <si>
    <t>Pilíř III</t>
  </si>
  <si>
    <t>Výsledky aplikovaného výzkumu 2010-2011, pilíř III 2012-2013</t>
  </si>
  <si>
    <t>Celkem</t>
  </si>
  <si>
    <t>IČO</t>
  </si>
  <si>
    <t>Název instituce</t>
  </si>
  <si>
    <t>Počet výsledků s kladným bodovým ohodnocením</t>
  </si>
  <si>
    <t>Body výsledků</t>
  </si>
  <si>
    <t>Body upravené podle příl. č. 8 Metodiky</t>
  </si>
  <si>
    <t>Počet ERC grantů zjištěných</t>
  </si>
  <si>
    <t>Počet ERC grantů započtených</t>
  </si>
  <si>
    <t>Započtená bonifikace</t>
  </si>
  <si>
    <t>Alokovaná kvóta výsledků na VO</t>
  </si>
  <si>
    <t>Počet výsledků v kategorii "A"</t>
  </si>
  <si>
    <t>Bodové skóre v předešlém roce</t>
  </si>
  <si>
    <t>Bodové skóre v aktuálním roce</t>
  </si>
  <si>
    <t>Body za patenty, odrůdy a plemena</t>
  </si>
  <si>
    <t>Upravené body za patenty, odrůdy a plemena</t>
  </si>
  <si>
    <t>Body za projekty aplikovaného výzkumu a smluvní výzkum</t>
  </si>
  <si>
    <t>Celkové body ve III. Pilíři</t>
  </si>
  <si>
    <t>Upravené body výsledků</t>
  </si>
  <si>
    <t>ACCENDO - Centrum pro vědu a výzkum, z.ú.</t>
  </si>
  <si>
    <t>Agritec Plant Research s.r.o.</t>
  </si>
  <si>
    <t>Agrotest fyto, s.r.o.</t>
  </si>
  <si>
    <t>Agrovýzkum Rapotín s.r.o.</t>
  </si>
  <si>
    <t>Akademie múzických umění v Praze</t>
  </si>
  <si>
    <t>Akademie výtvarných umění v Praze</t>
  </si>
  <si>
    <t>Akademie, o.p.s.</t>
  </si>
  <si>
    <t>ALKA Wildlife, o.p.s.</t>
  </si>
  <si>
    <t>ALTA MINERALS, a.s.</t>
  </si>
  <si>
    <t>ARCHAIA Brno o.p.s.</t>
  </si>
  <si>
    <t>Archeologické centrum Olomouc, příspěvková organizace</t>
  </si>
  <si>
    <t>Archeologický ústav AV ČR, Brno, v. v. i.</t>
  </si>
  <si>
    <t>Archeologický ústav AV ČR, Praha, v. v. i.</t>
  </si>
  <si>
    <t>Archiv bezpečnostních složek</t>
  </si>
  <si>
    <t>Astronomický ústav AV ČR, v. v. i.</t>
  </si>
  <si>
    <t>BIC Brno, spol. s r. o.</t>
  </si>
  <si>
    <t>Biofyzikální ústav AV ČR, v. v. i.</t>
  </si>
  <si>
    <t>Biologické centrum AV ČR, v. v. i.</t>
  </si>
  <si>
    <t>Biotechnologický ústav AV ČR, v. v. i.</t>
  </si>
  <si>
    <t>Botanický ústav AV ČR, v. v. i.</t>
  </si>
  <si>
    <t>CASRI - vědecké a servisní pracoviště tělesné výchovy</t>
  </si>
  <si>
    <t>CENIA, česká informační agentura životního prostředí</t>
  </si>
  <si>
    <t>Centrum dopravního výzkumu, v.v.i.</t>
  </si>
  <si>
    <t>Centrum ekonomických studií Vysoké školy ekonomie a managementu, o.p.s.</t>
  </si>
  <si>
    <t>Centrum hydraulického výzkumu spol. s r.o.</t>
  </si>
  <si>
    <t>Centrum kardiovaskulární a transplantační chirurgie</t>
  </si>
  <si>
    <t>Centrum organické chemie s.r.o.</t>
  </si>
  <si>
    <t>Centrum pro bezpečný stát o.s.</t>
  </si>
  <si>
    <t>Centrum pro studium vysokého školství, v.v.i.</t>
  </si>
  <si>
    <t>Centrum výzkumu globální změny AV ČR, v. v. i.</t>
  </si>
  <si>
    <t>Centrum výzkumu Řež s.r.o.</t>
  </si>
  <si>
    <t>CESNET - zájmové sdružení právnických osob</t>
  </si>
  <si>
    <t>COMTES FHT a.s.</t>
  </si>
  <si>
    <t>CZECHDESIGN.CZ, z. s.</t>
  </si>
  <si>
    <t>Česká geologická služba</t>
  </si>
  <si>
    <t>Česká kosmická kancelář o.p.s.</t>
  </si>
  <si>
    <t>Česká zemědělská univerzita v Praze</t>
  </si>
  <si>
    <t>České vysoké učení technické v Praze</t>
  </si>
  <si>
    <t>Český metrologický institut</t>
  </si>
  <si>
    <t>Endokrinologický ústav</t>
  </si>
  <si>
    <t>ENKI, o.p.s.</t>
  </si>
  <si>
    <t>Etnologický ústav AV ČR, v. v. i.</t>
  </si>
  <si>
    <t>Fakultní nemocnice Brno</t>
  </si>
  <si>
    <t>Fakultní nemocnice Hradec Králové</t>
  </si>
  <si>
    <t>Fakultní nemocnice Královské Vinohrady</t>
  </si>
  <si>
    <t>Fakultní nemocnice Olomouc</t>
  </si>
  <si>
    <t>Fakultní nemocnice Ostrava</t>
  </si>
  <si>
    <t>Fakultní nemocnice Plzeň</t>
  </si>
  <si>
    <t>Fakultní nemocnice u sv. Anny v Brně</t>
  </si>
  <si>
    <t>Fakultní nemocnice v Motole</t>
  </si>
  <si>
    <t>Filosofický ústav AV ČR, v. v. i.</t>
  </si>
  <si>
    <t>Fyzikální ústav AV ČR, v. v. i.</t>
  </si>
  <si>
    <t>Fyziologický ústav AV ČR, v. v. i.</t>
  </si>
  <si>
    <t>GaREP, spol. s r.o.</t>
  </si>
  <si>
    <t>Geofyzikální ústav AV ČR, v. v. i.</t>
  </si>
  <si>
    <t>Geologický ústav AV ČR, v. v. i.</t>
  </si>
  <si>
    <t>Historický ústav AV ČR, v. v. i.</t>
  </si>
  <si>
    <t>Husitské muzeum v Táboře</t>
  </si>
  <si>
    <t>Chmelařský institut s.r.o.</t>
  </si>
  <si>
    <t>INESAN, s.r.o.</t>
  </si>
  <si>
    <t>Institut klinické a experimentální mediciny</t>
  </si>
  <si>
    <t>Institut postgraduálního vzdělávání ve zdravotnictví</t>
  </si>
  <si>
    <t>Institut pro kriminologii a sociální prevenci</t>
  </si>
  <si>
    <t>Institut umění - Divadelní ústav</t>
  </si>
  <si>
    <t>Intemac Solutions, s.r.o.</t>
  </si>
  <si>
    <t>Inženýrská akademie České republiky, o.s.</t>
  </si>
  <si>
    <t>Janáčkova akademie múzických umění v Brně</t>
  </si>
  <si>
    <t>Jihočeská univerzita v Českých Budějovicích</t>
  </si>
  <si>
    <t>Knihovna AV ČR, v. v. i.</t>
  </si>
  <si>
    <t>Masarykova univerzita</t>
  </si>
  <si>
    <t>Masarykův onkologický ústav</t>
  </si>
  <si>
    <t>Masarykův ústav a Archiv AV ČR, v. v. i.</t>
  </si>
  <si>
    <t>Matematický ústav AV ČR, v. v. i.</t>
  </si>
  <si>
    <t>MATERIÁLOVÝ A METALURGICKÝ VÝZKUM s.r.o.</t>
  </si>
  <si>
    <t>MemBrain s.r.o.</t>
  </si>
  <si>
    <t>Mendelova univerzita v Brně</t>
  </si>
  <si>
    <t>METCENAS, o.p.s.</t>
  </si>
  <si>
    <t>Metropolitní univerzita Praha, o.p.s.</t>
  </si>
  <si>
    <t>Mikrobiologický ústav AV ČR, v. v. i.</t>
  </si>
  <si>
    <t>Mikropur, s.r.o.</t>
  </si>
  <si>
    <t>Ministerstvo obrany - Univerzita obrany</t>
  </si>
  <si>
    <t>Ministerstvo vnitra</t>
  </si>
  <si>
    <t>Moravská galerie v Brně</t>
  </si>
  <si>
    <t>Moravská zemská knihovna v Brně</t>
  </si>
  <si>
    <t>Moravské zemské muzeum</t>
  </si>
  <si>
    <t>Muzeum východních Čech v Hradci Králové</t>
  </si>
  <si>
    <t>Muzeum Vysočiny Jihlava, příspěvková organizace</t>
  </si>
  <si>
    <t>Národní archiv</t>
  </si>
  <si>
    <t>Národní filmový archiv</t>
  </si>
  <si>
    <t>Národní galerie v Praze</t>
  </si>
  <si>
    <t>Národní informační a poradenské středisko pro kulturu</t>
  </si>
  <si>
    <t>Národní knihovna České republiky</t>
  </si>
  <si>
    <t>Národní lékařská knihovna</t>
  </si>
  <si>
    <t>Národní muzeum</t>
  </si>
  <si>
    <t>Národní památkový ústav</t>
  </si>
  <si>
    <t>Národní pedagogické muzeum a knihovna J. A. Komenského</t>
  </si>
  <si>
    <t>Národní technická knihovna</t>
  </si>
  <si>
    <t>Národní technické museum</t>
  </si>
  <si>
    <t>Národní ústav duševního zdraví</t>
  </si>
  <si>
    <t>Národní ústav lidové kultury</t>
  </si>
  <si>
    <t>Národní zemědělské muzeum Praha</t>
  </si>
  <si>
    <t>Národohospodářský ústav AV ČR, v. v. i.</t>
  </si>
  <si>
    <t>Nemocnice Na Bulovce</t>
  </si>
  <si>
    <t>Nemocnice Na Homolce</t>
  </si>
  <si>
    <t>NEWTON College, a.s.</t>
  </si>
  <si>
    <t>Orientální ústav AV ČR, v. v. i.</t>
  </si>
  <si>
    <t>OSEVA vývoj a výzkum s.r.o.</t>
  </si>
  <si>
    <t>Ostravská univerzita v Ostravě</t>
  </si>
  <si>
    <t>Památník národního písemnictví</t>
  </si>
  <si>
    <t>Policejní akademie České republiky v Praze</t>
  </si>
  <si>
    <t>Psychologický ústav AV ČR, v. v. i.</t>
  </si>
  <si>
    <t>Revmatologický ústav</t>
  </si>
  <si>
    <t>Slezská univerzita v Opavě</t>
  </si>
  <si>
    <t>Slezské zemské muzeum</t>
  </si>
  <si>
    <t>Slovanský ústav AV ČR, v. v. i.</t>
  </si>
  <si>
    <t>SocioFactor s.r.o.</t>
  </si>
  <si>
    <t>Sociologický ústav AV ČR, v. v. i.</t>
  </si>
  <si>
    <t>Státní ústav jaderné, chemické a biologické ochrany, v.v.i.</t>
  </si>
  <si>
    <t>Státní ústav radiační ochrany, v.v.i.</t>
  </si>
  <si>
    <t>Státní zdravotní ústav se sídlem v Praze</t>
  </si>
  <si>
    <t>Středisko společných činností AV ČR, v. v. i.</t>
  </si>
  <si>
    <t>SVÚM a.s.</t>
  </si>
  <si>
    <t>SVÚOM s.r.o.</t>
  </si>
  <si>
    <t>ŠKODA AUTO VYSOKÁ ŠKOLA o.p.s.</t>
  </si>
  <si>
    <t>Technická univerzita v Liberci</t>
  </si>
  <si>
    <t>Technické muzeum v Brně</t>
  </si>
  <si>
    <t>Technologické centrum Akademie věd České republiky</t>
  </si>
  <si>
    <t>Textilní zkušební ústav, s.p.</t>
  </si>
  <si>
    <t>Thomayerova nemocnice</t>
  </si>
  <si>
    <t>Uměleckoprůmyslové museum v Praze</t>
  </si>
  <si>
    <t>Unipetrol výzkumně vzdělávací centrum, a.s.</t>
  </si>
  <si>
    <t>Univerzita Hradec Králové</t>
  </si>
  <si>
    <t>Univerzita Jana Amose Komenského Praha s.r.o.</t>
  </si>
  <si>
    <t>Univerzita Jana Evangelisty Purkyně v Ústí nad Labem</t>
  </si>
  <si>
    <t>Univerzita Karlova v Praze</t>
  </si>
  <si>
    <t>Univerzita Palackého v Olomouci</t>
  </si>
  <si>
    <t>Univerzita Pardubice</t>
  </si>
  <si>
    <t>Univerzita Tomáše Bati ve Zlíně</t>
  </si>
  <si>
    <t>Ústav  pro studium totalitních režimů</t>
  </si>
  <si>
    <t>Ústav analytické chemie AV ČR, v. v. i.</t>
  </si>
  <si>
    <t>Ústav anorganické chemie AV ČR, v. v. i.</t>
  </si>
  <si>
    <t>Ústav archeologické památkové péče Brno, veřejná výzkumná instituce</t>
  </si>
  <si>
    <t>Ústav archeologické památkové péče severozápadních Čech, v. v. i.</t>
  </si>
  <si>
    <t>Ústav biologie obratlovců AV ČR, v. v. i.</t>
  </si>
  <si>
    <t>Ústav dějin umění AV ČR, v. v. i.</t>
  </si>
  <si>
    <t>Ústav experimentální botaniky AV ČR, v. v. i.</t>
  </si>
  <si>
    <t>Ústav experimentální medicíny AV ČR, v. v. i.</t>
  </si>
  <si>
    <t>Ústav fotoniky a elektroniky AV ČR, v. v. i.</t>
  </si>
  <si>
    <t>Ústav fyzikální chemie J. Heyrovského AV ČR, v. v. i.</t>
  </si>
  <si>
    <t>Ústav fyziky atmosféry AV ČR, v. v. i.</t>
  </si>
  <si>
    <t>Ústav fyziky materiálů AV ČR, v. v. i.</t>
  </si>
  <si>
    <t>Ústav fyziky plazmatu AV ČR, v. v. i.</t>
  </si>
  <si>
    <t>Ústav geoniky AV ČR, v. v. i.</t>
  </si>
  <si>
    <t>Ústav hematologie a krevní transfúze</t>
  </si>
  <si>
    <t>Ústav chemických procesů AV ČR, v. v. i.</t>
  </si>
  <si>
    <t>Ústav informatiky AV ČR, v. v. i.</t>
  </si>
  <si>
    <t>Ústav jaderné fyziky AV ČR, v. v. i.</t>
  </si>
  <si>
    <t>Ústav makromolekulární chemie AV ČR, v. v. i.</t>
  </si>
  <si>
    <t>Ústav mezinárodních vztahů, v.v.i.</t>
  </si>
  <si>
    <t>Ústav molekulární genetiky AV ČR, v. v. i.</t>
  </si>
  <si>
    <t>Ústav organické chemie a biochemie AV ČR, v. v. i.</t>
  </si>
  <si>
    <t>Ústav pro českou literaturu AV ČR, v. v. i.</t>
  </si>
  <si>
    <t>Ústav pro hydrodynamiku AV ČR, v. v. i.</t>
  </si>
  <si>
    <t>Ústav pro jazyk český AV ČR, v. v. i.</t>
  </si>
  <si>
    <t>Ústav pro péči o matku a dítě</t>
  </si>
  <si>
    <t>Ústav pro soudobé dějiny AV ČR, v. v. i.</t>
  </si>
  <si>
    <t>Ústav přístrojové techniky AV ČR, v. v. i.</t>
  </si>
  <si>
    <t>Ústav státu a práva AV ČR, v. v. i.</t>
  </si>
  <si>
    <t>Ústav struktury a mechaniky hornin AV ČR, v. v. i.</t>
  </si>
  <si>
    <t>Ústav teoretické a aplikované mechaniky AV ČR, v. v. i.</t>
  </si>
  <si>
    <t>Ústav teorie informace a automatizace AV ČR, v. v. i.</t>
  </si>
  <si>
    <t>Ústav termomechaniky AV ČR, v. v. i.</t>
  </si>
  <si>
    <t>Ústav zemědělské ekonomiky a informací</t>
  </si>
  <si>
    <t>Ústav živočišné fyziologie a genetiky AV ČR, v. v. i.</t>
  </si>
  <si>
    <t>Ústřední vojenská nemocnice - Vojenská fakultní nemocnice Praha</t>
  </si>
  <si>
    <t>Valašské muzeum v přírodě v Rožnově pod Radhoštěm</t>
  </si>
  <si>
    <t>Veterinární a farmaceutická univerzita Brno</t>
  </si>
  <si>
    <t>VÍTKOVICE ÚAM a.s.</t>
  </si>
  <si>
    <t>Vojenský výzkumný ústav, s.p.</t>
  </si>
  <si>
    <t>Všeobecná fakultní nemocnice v Praze</t>
  </si>
  <si>
    <t>VÚTS, a.s.</t>
  </si>
  <si>
    <t>Vysoká škola báňská - Technická univerzita Ostrava</t>
  </si>
  <si>
    <t>Vysoká škola ekonomická v Praze</t>
  </si>
  <si>
    <t>Vysoká škola ekonomie a managementu, o.p.s.</t>
  </si>
  <si>
    <t>Vysoká škola evropských a regionálních studií, o.p.s.</t>
  </si>
  <si>
    <t>Vysoká škola finanční a správní, a.s.</t>
  </si>
  <si>
    <t>Vysoká škola hotelová v Praze 8, spol. s r.o.</t>
  </si>
  <si>
    <t>Vysoká škola chemicko-technologická v Praze</t>
  </si>
  <si>
    <t>Vysoká škola polytechnická Jihlava</t>
  </si>
  <si>
    <t>Vysoká škola technická a ekonomická v Českých Budějovicích</t>
  </si>
  <si>
    <t>Vysoká škola tělesné výchovy a sportu PALESTRA, spol. s r.o.</t>
  </si>
  <si>
    <t>Vysoká škola umělecko-průmyslová v Praze</t>
  </si>
  <si>
    <t>Vysoké učení technické v Brně</t>
  </si>
  <si>
    <t>Výzkumné centrum SELTON, s.r.o.</t>
  </si>
  <si>
    <t>Výzkumný a šlechtitelský ústav ovocnářský Holovousy s.r.o.</t>
  </si>
  <si>
    <t>Výzkumný a zkušební letecký ústav, a.s.</t>
  </si>
  <si>
    <t>Výzkumný a zkušební ústav Plzeň s.r.o.</t>
  </si>
  <si>
    <t>Výzkumný ústav bezpečnosti práce, v.v.i.</t>
  </si>
  <si>
    <t>Výzkumný ústav bramborářský Havlíčkův Brod, s.r.o.</t>
  </si>
  <si>
    <t>Výzkumný ústav geodetický, topografický a kartografický, v. v. i.</t>
  </si>
  <si>
    <t>Výzkumný ústav lesního hospodářství a myslivosti, v.v.i.</t>
  </si>
  <si>
    <t>Výzkumný ústav meliorací a ochrany půdy, v.v.i.</t>
  </si>
  <si>
    <t>Výzkumný ústav mlékárenský s.r.o.</t>
  </si>
  <si>
    <t>Výzkumný ústav pivovarský a sladařský, a.s.</t>
  </si>
  <si>
    <t>Výzkumný ústav potravinářský Praha, v.v.i.</t>
  </si>
  <si>
    <t>Výzkumný ústav práce a sociálních věcí, v.v.i.</t>
  </si>
  <si>
    <t>Výzkumný ústav rostlinné výroby, v.v.i.</t>
  </si>
  <si>
    <t>Výzkumný ústav Silva Taroucy pro krajinu a okrasné zahradnictví, v.v.i.</t>
  </si>
  <si>
    <t>Výzkumný ústav stavebních hmot,a.s.</t>
  </si>
  <si>
    <t>Výzkumný ústav veterinárního lékařství, v.v.i.</t>
  </si>
  <si>
    <t>Výzkumný ústav vodohospodářský T. G. Masaryka veřejná výzkumná instituce</t>
  </si>
  <si>
    <t>Výzkumný ústav zemědělské techniky, v.v.i.</t>
  </si>
  <si>
    <t>Výzkumný ústav živočišné výroby, v.v.i.</t>
  </si>
  <si>
    <t>Západočeská galerie v Plzni, příspěvková organizace</t>
  </si>
  <si>
    <t>Západočeská univerzita v Plzni</t>
  </si>
  <si>
    <t>Západočeské muzeum v Plzni, příspěvková organizace</t>
  </si>
  <si>
    <t>Zemědělský výzkum, spol. s r.o.</t>
  </si>
  <si>
    <t>Židovské muzeum v Praze</t>
  </si>
  <si>
    <t>04274644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</si>
</sst>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theme="10"/>
      <name val="Calibri"/>
    </font>
    <font>
      <u/>
      <sz val="11"/>
      <color theme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4"/>
  <sheetViews>
    <sheetView tabSelected="1" workbookViewId="0">
      <pane xSplit="2" ySplit="4" topLeftCell="C163" activePane="bottomRight" state="frozen"/>
      <selection pane="topRight"/>
      <selection pane="bottomLeft"/>
      <selection pane="bottomRight" activeCell="A191" sqref="A191"/>
    </sheetView>
  </sheetViews>
  <sheetFormatPr baseColWidth="10" defaultColWidth="8.83203125" defaultRowHeight="14" x14ac:dyDescent="0"/>
  <cols>
    <col min="1" max="1" width="17.5" customWidth="1"/>
    <col min="2" max="2" width="73.6640625" customWidth="1"/>
    <col min="3" max="3" width="13.33203125" customWidth="1"/>
    <col min="4" max="6" width="10.6640625" customWidth="1"/>
    <col min="7" max="7" width="11.83203125" customWidth="1"/>
    <col min="8" max="10" width="10.6640625" customWidth="1"/>
    <col min="11" max="11" width="12.5" customWidth="1"/>
    <col min="12" max="12" width="12.1640625" customWidth="1"/>
    <col min="13" max="14" width="10.6640625" customWidth="1"/>
    <col min="15" max="16" width="19" customWidth="1"/>
    <col min="17" max="17" width="32.33203125" customWidth="1"/>
  </cols>
  <sheetData>
    <row r="1" spans="1:42" ht="18">
      <c r="A1" s="1" t="s">
        <v>0</v>
      </c>
    </row>
    <row r="2" spans="1:42" ht="15">
      <c r="A2" s="2" t="s">
        <v>1</v>
      </c>
    </row>
    <row r="3" spans="1:42" ht="28">
      <c r="A3" s="11" t="s">
        <v>2</v>
      </c>
      <c r="B3" s="12"/>
      <c r="C3" s="11" t="s">
        <v>3</v>
      </c>
      <c r="D3" s="12"/>
      <c r="E3" s="12"/>
      <c r="F3" s="11" t="s">
        <v>4</v>
      </c>
      <c r="G3" s="12"/>
      <c r="H3" s="12"/>
      <c r="I3" s="11" t="s">
        <v>5</v>
      </c>
      <c r="J3" s="12"/>
      <c r="K3" s="12"/>
      <c r="L3" s="12"/>
      <c r="M3" s="11" t="s">
        <v>6</v>
      </c>
      <c r="N3" s="12"/>
      <c r="O3" s="12"/>
      <c r="P3" s="12"/>
      <c r="Q3" s="5" t="s">
        <v>7</v>
      </c>
      <c r="R3" s="6"/>
    </row>
    <row r="4" spans="1:42" ht="120" customHeight="1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8" t="s">
        <v>8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>
      <c r="A5" s="6" t="str">
        <f>"28614950"</f>
        <v>28614950</v>
      </c>
      <c r="B5" s="6" t="s">
        <v>26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27.2406909141</v>
      </c>
      <c r="P5" s="6">
        <v>27.2406909141</v>
      </c>
      <c r="Q5" s="6">
        <v>0</v>
      </c>
      <c r="R5" s="9">
        <f t="shared" ref="R5:R68" si="0">E5+H5+L5+P5+Q5</f>
        <v>27.2406909141</v>
      </c>
    </row>
    <row r="6" spans="1:42">
      <c r="A6" s="6" t="str">
        <f>"26784246"</f>
        <v>26784246</v>
      </c>
      <c r="B6" s="6" t="s">
        <v>27</v>
      </c>
      <c r="C6" s="6">
        <v>67</v>
      </c>
      <c r="D6" s="6">
        <v>692.13994236833003</v>
      </c>
      <c r="E6" s="6">
        <v>748.25202455220995</v>
      </c>
      <c r="F6" s="6">
        <v>0</v>
      </c>
      <c r="G6" s="6">
        <v>0</v>
      </c>
      <c r="H6" s="6">
        <v>0</v>
      </c>
      <c r="I6" s="6">
        <v>1</v>
      </c>
      <c r="J6" s="6">
        <v>1</v>
      </c>
      <c r="K6" s="6">
        <v>215.833</v>
      </c>
      <c r="L6" s="6">
        <v>322.83199999999999</v>
      </c>
      <c r="M6" s="6">
        <v>25</v>
      </c>
      <c r="N6" s="6">
        <v>25</v>
      </c>
      <c r="O6" s="6">
        <v>83.337699305499996</v>
      </c>
      <c r="P6" s="6">
        <v>108.3376993055</v>
      </c>
      <c r="Q6" s="6">
        <v>787.60500000000002</v>
      </c>
      <c r="R6" s="9">
        <f t="shared" si="0"/>
        <v>1967.0267238577098</v>
      </c>
    </row>
    <row r="7" spans="1:42">
      <c r="A7" s="6" t="str">
        <f>"25328859"</f>
        <v>25328859</v>
      </c>
      <c r="B7" s="6" t="s">
        <v>28</v>
      </c>
      <c r="C7" s="6">
        <v>160</v>
      </c>
      <c r="D7" s="6">
        <v>1675.9520875999999</v>
      </c>
      <c r="E7" s="6">
        <v>1741.1553926189999</v>
      </c>
      <c r="F7" s="6">
        <v>0</v>
      </c>
      <c r="G7" s="6">
        <v>0</v>
      </c>
      <c r="H7" s="6">
        <v>0</v>
      </c>
      <c r="I7" s="6">
        <v>1.95</v>
      </c>
      <c r="J7" s="6">
        <v>0</v>
      </c>
      <c r="K7" s="6">
        <v>371.45400000000001</v>
      </c>
      <c r="L7" s="6">
        <v>334.30900000000003</v>
      </c>
      <c r="M7" s="6">
        <v>25</v>
      </c>
      <c r="N7" s="6">
        <v>25</v>
      </c>
      <c r="O7" s="6">
        <v>229.33716810109999</v>
      </c>
      <c r="P7" s="6">
        <v>254.33716810109999</v>
      </c>
      <c r="Q7" s="6">
        <v>1156.55</v>
      </c>
      <c r="R7" s="9">
        <f t="shared" si="0"/>
        <v>3486.3515607200998</v>
      </c>
    </row>
    <row r="8" spans="1:42">
      <c r="A8" s="6" t="str">
        <f>"26788462"</f>
        <v>26788462</v>
      </c>
      <c r="B8" s="6" t="s">
        <v>29</v>
      </c>
      <c r="C8" s="6">
        <v>136</v>
      </c>
      <c r="D8" s="6">
        <v>711.78956522579995</v>
      </c>
      <c r="E8" s="6">
        <v>780.43554670885999</v>
      </c>
      <c r="F8" s="6">
        <v>0</v>
      </c>
      <c r="G8" s="6">
        <v>0</v>
      </c>
      <c r="H8" s="6">
        <v>0</v>
      </c>
      <c r="I8" s="6">
        <v>0.6</v>
      </c>
      <c r="J8" s="6">
        <v>0</v>
      </c>
      <c r="K8" s="6">
        <v>242.82900000000001</v>
      </c>
      <c r="L8" s="6">
        <v>218.54599999999999</v>
      </c>
      <c r="M8" s="6">
        <v>0</v>
      </c>
      <c r="N8" s="6">
        <v>0</v>
      </c>
      <c r="O8" s="6">
        <v>72.294175961999997</v>
      </c>
      <c r="P8" s="6">
        <v>72.294175961999997</v>
      </c>
      <c r="Q8" s="6">
        <v>904.56100000000004</v>
      </c>
      <c r="R8" s="9">
        <f t="shared" si="0"/>
        <v>1975.8367226708601</v>
      </c>
    </row>
    <row r="9" spans="1:42">
      <c r="A9" s="6" t="str">
        <f>"61384984"</f>
        <v>61384984</v>
      </c>
      <c r="B9" s="6" t="s">
        <v>30</v>
      </c>
      <c r="C9" s="6">
        <v>320</v>
      </c>
      <c r="D9" s="6">
        <v>4693.5638208007003</v>
      </c>
      <c r="E9" s="6">
        <v>4309.2151258757003</v>
      </c>
      <c r="F9" s="6">
        <v>0</v>
      </c>
      <c r="G9" s="6">
        <v>0</v>
      </c>
      <c r="H9" s="6">
        <v>0</v>
      </c>
      <c r="I9" s="6">
        <v>2</v>
      </c>
      <c r="J9" s="6">
        <v>0</v>
      </c>
      <c r="K9" s="6">
        <v>552.52200000000005</v>
      </c>
      <c r="L9" s="6">
        <v>497.27</v>
      </c>
      <c r="M9" s="6">
        <v>10</v>
      </c>
      <c r="N9" s="6">
        <v>10</v>
      </c>
      <c r="O9" s="6">
        <v>358.8327047889</v>
      </c>
      <c r="P9" s="6">
        <v>368.8327047889</v>
      </c>
      <c r="Q9" s="6">
        <v>717.04200000000003</v>
      </c>
      <c r="R9" s="9">
        <f t="shared" si="0"/>
        <v>5892.3598306646008</v>
      </c>
    </row>
    <row r="10" spans="1:42">
      <c r="A10" s="6" t="str">
        <f>"60461446"</f>
        <v>60461446</v>
      </c>
      <c r="B10" s="6" t="s">
        <v>31</v>
      </c>
      <c r="C10" s="6">
        <v>90</v>
      </c>
      <c r="D10" s="6">
        <v>1286.1005580834001</v>
      </c>
      <c r="E10" s="6">
        <v>1121.1828167419999</v>
      </c>
      <c r="F10" s="6">
        <v>0</v>
      </c>
      <c r="G10" s="6">
        <v>0</v>
      </c>
      <c r="H10" s="6">
        <v>0</v>
      </c>
      <c r="I10" s="6">
        <v>1</v>
      </c>
      <c r="J10" s="6">
        <v>0</v>
      </c>
      <c r="K10" s="6">
        <v>92.712599999999995</v>
      </c>
      <c r="L10" s="6">
        <v>83.441299999999998</v>
      </c>
      <c r="M10" s="6">
        <v>0</v>
      </c>
      <c r="N10" s="6">
        <v>0</v>
      </c>
      <c r="O10" s="6">
        <v>115.9569951073</v>
      </c>
      <c r="P10" s="6">
        <v>115.9569951073</v>
      </c>
      <c r="Q10" s="6">
        <v>152.39599999999999</v>
      </c>
      <c r="R10" s="9">
        <f t="shared" si="0"/>
        <v>1472.9771118492997</v>
      </c>
    </row>
    <row r="11" spans="1:42">
      <c r="A11" s="6" t="str">
        <f>"63493713"</f>
        <v>63493713</v>
      </c>
      <c r="B11" s="6" t="s">
        <v>32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50.063972490799998</v>
      </c>
      <c r="P11" s="6">
        <v>50.063972490799998</v>
      </c>
      <c r="Q11" s="6">
        <v>44.232999999999997</v>
      </c>
      <c r="R11" s="9">
        <f t="shared" si="0"/>
        <v>94.296972490799988</v>
      </c>
    </row>
    <row r="12" spans="1:42">
      <c r="A12" s="6" t="str">
        <f>"28064933"</f>
        <v>28064933</v>
      </c>
      <c r="B12" s="6" t="s">
        <v>33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13.0068163824</v>
      </c>
      <c r="P12" s="6">
        <v>13.0068163824</v>
      </c>
      <c r="Q12" s="6">
        <v>0</v>
      </c>
      <c r="R12" s="9">
        <f t="shared" si="0"/>
        <v>13.0068163824</v>
      </c>
    </row>
    <row r="13" spans="1:42">
      <c r="A13" s="6" t="str">
        <f>"29278872"</f>
        <v>29278872</v>
      </c>
      <c r="B13" s="6" t="s">
        <v>34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/>
      <c r="O13" s="6">
        <v>0</v>
      </c>
      <c r="P13" s="6">
        <v>0</v>
      </c>
      <c r="Q13" s="6">
        <v>0</v>
      </c>
      <c r="R13" s="9">
        <f t="shared" si="0"/>
        <v>0</v>
      </c>
    </row>
    <row r="14" spans="1:42">
      <c r="A14" s="6" t="str">
        <f>"26268469"</f>
        <v>26268469</v>
      </c>
      <c r="B14" s="6" t="s">
        <v>35</v>
      </c>
      <c r="C14" s="6">
        <v>69</v>
      </c>
      <c r="D14" s="6">
        <v>433.10238189961001</v>
      </c>
      <c r="E14" s="6">
        <v>346.10316365667001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21.412164704999999</v>
      </c>
      <c r="P14" s="6">
        <v>21.412164704999999</v>
      </c>
      <c r="Q14" s="6">
        <v>20.324000000000002</v>
      </c>
      <c r="R14" s="9">
        <f t="shared" si="0"/>
        <v>387.83932836167003</v>
      </c>
    </row>
    <row r="15" spans="1:42">
      <c r="A15" s="6" t="str">
        <f>"75008271"</f>
        <v>75008271</v>
      </c>
      <c r="B15" s="6" t="s">
        <v>36</v>
      </c>
      <c r="C15" s="6">
        <v>1</v>
      </c>
      <c r="D15" s="6">
        <v>1.2749999761580999</v>
      </c>
      <c r="E15" s="6">
        <v>0.95999997854232999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7.8736231245999999</v>
      </c>
      <c r="P15" s="6">
        <v>7.8736231245999999</v>
      </c>
      <c r="Q15" s="6">
        <v>18.751999999999999</v>
      </c>
      <c r="R15" s="9">
        <f t="shared" si="0"/>
        <v>27.585623103142328</v>
      </c>
    </row>
    <row r="16" spans="1:42">
      <c r="A16" s="6" t="str">
        <f>"68081758"</f>
        <v>68081758</v>
      </c>
      <c r="B16" s="6" t="s">
        <v>37</v>
      </c>
      <c r="C16" s="6">
        <v>147</v>
      </c>
      <c r="D16" s="6">
        <v>1420.9605800869999</v>
      </c>
      <c r="E16" s="6">
        <v>1251.0906279291</v>
      </c>
      <c r="F16" s="6">
        <v>0</v>
      </c>
      <c r="G16" s="6">
        <v>0</v>
      </c>
      <c r="H16" s="6">
        <v>0</v>
      </c>
      <c r="I16" s="6">
        <v>3.5833300000000001</v>
      </c>
      <c r="J16" s="6">
        <v>0</v>
      </c>
      <c r="K16" s="6">
        <v>156.374</v>
      </c>
      <c r="L16" s="6">
        <v>140.73699999999999</v>
      </c>
      <c r="M16" s="6">
        <v>0</v>
      </c>
      <c r="N16" s="6">
        <v>0</v>
      </c>
      <c r="O16" s="6">
        <v>189.43732728020001</v>
      </c>
      <c r="P16" s="6">
        <v>189.43732728020001</v>
      </c>
      <c r="Q16" s="6">
        <v>173.01</v>
      </c>
      <c r="R16" s="9">
        <f t="shared" si="0"/>
        <v>1754.2749552093001</v>
      </c>
    </row>
    <row r="17" spans="1:18">
      <c r="A17" s="6" t="str">
        <f>"67985912"</f>
        <v>67985912</v>
      </c>
      <c r="B17" s="6" t="s">
        <v>38</v>
      </c>
      <c r="C17" s="6">
        <v>504</v>
      </c>
      <c r="D17" s="6">
        <v>6018.3012295552999</v>
      </c>
      <c r="E17" s="6">
        <v>5181.4489823365002</v>
      </c>
      <c r="F17" s="6">
        <v>0</v>
      </c>
      <c r="G17" s="6">
        <v>0</v>
      </c>
      <c r="H17" s="6">
        <v>0</v>
      </c>
      <c r="I17" s="6">
        <v>3.16194</v>
      </c>
      <c r="J17" s="6">
        <v>2</v>
      </c>
      <c r="K17" s="6">
        <v>585.86800000000005</v>
      </c>
      <c r="L17" s="6">
        <v>653.45100000000002</v>
      </c>
      <c r="M17" s="6">
        <v>0</v>
      </c>
      <c r="N17" s="6">
        <v>0</v>
      </c>
      <c r="O17" s="6">
        <v>196.5338135769</v>
      </c>
      <c r="P17" s="6">
        <v>196.5338135769</v>
      </c>
      <c r="Q17" s="6">
        <v>481.05700000000002</v>
      </c>
      <c r="R17" s="9">
        <f t="shared" si="0"/>
        <v>6512.4907959133998</v>
      </c>
    </row>
    <row r="18" spans="1:18">
      <c r="A18" s="6" t="str">
        <f>"75112817"</f>
        <v>75112817</v>
      </c>
      <c r="B18" s="6" t="s">
        <v>39</v>
      </c>
      <c r="C18" s="6">
        <v>4</v>
      </c>
      <c r="D18" s="6">
        <v>0.85100001096724998</v>
      </c>
      <c r="E18" s="6">
        <v>0.57500000298023002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/>
      <c r="O18" s="6">
        <v>0</v>
      </c>
      <c r="P18" s="6">
        <v>0</v>
      </c>
      <c r="Q18" s="6">
        <v>0</v>
      </c>
      <c r="R18" s="9">
        <f t="shared" si="0"/>
        <v>0.57500000298023002</v>
      </c>
    </row>
    <row r="19" spans="1:18">
      <c r="A19" s="6" t="str">
        <f>"67985815"</f>
        <v>67985815</v>
      </c>
      <c r="B19" s="6" t="s">
        <v>40</v>
      </c>
      <c r="C19" s="6">
        <v>544</v>
      </c>
      <c r="D19" s="6">
        <v>15120.315038065</v>
      </c>
      <c r="E19" s="6">
        <v>20409.781756586999</v>
      </c>
      <c r="F19" s="6">
        <v>0</v>
      </c>
      <c r="G19" s="6">
        <v>0</v>
      </c>
      <c r="H19" s="6">
        <v>0</v>
      </c>
      <c r="I19" s="6">
        <v>8.5791199999999996</v>
      </c>
      <c r="J19" s="6">
        <v>3</v>
      </c>
      <c r="K19" s="6">
        <v>2545.89</v>
      </c>
      <c r="L19" s="6">
        <v>2512.29</v>
      </c>
      <c r="M19" s="6">
        <v>0</v>
      </c>
      <c r="N19" s="6"/>
      <c r="O19" s="6">
        <v>0</v>
      </c>
      <c r="P19" s="6">
        <v>0</v>
      </c>
      <c r="Q19" s="6">
        <v>52.663699999999999</v>
      </c>
      <c r="R19" s="9">
        <f t="shared" si="0"/>
        <v>22974.735456587001</v>
      </c>
    </row>
    <row r="20" spans="1:18">
      <c r="A20" s="6" t="str">
        <f>"41601670"</f>
        <v>41601670</v>
      </c>
      <c r="B20" s="6" t="s">
        <v>41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/>
      <c r="O20" s="6">
        <v>0</v>
      </c>
      <c r="P20" s="6">
        <v>0</v>
      </c>
      <c r="Q20" s="6">
        <v>0</v>
      </c>
      <c r="R20" s="9">
        <f t="shared" si="0"/>
        <v>0</v>
      </c>
    </row>
    <row r="21" spans="1:18">
      <c r="A21" s="6" t="str">
        <f>"68081707"</f>
        <v>68081707</v>
      </c>
      <c r="B21" s="6" t="s">
        <v>42</v>
      </c>
      <c r="C21" s="6">
        <v>540</v>
      </c>
      <c r="D21" s="6">
        <v>17381.733835332001</v>
      </c>
      <c r="E21" s="6">
        <v>23085.592100141999</v>
      </c>
      <c r="F21" s="6">
        <v>1</v>
      </c>
      <c r="G21" s="6">
        <v>1</v>
      </c>
      <c r="H21" s="6">
        <v>2000</v>
      </c>
      <c r="I21" s="6">
        <v>5.7904799999999996</v>
      </c>
      <c r="J21" s="6">
        <v>2</v>
      </c>
      <c r="K21" s="6">
        <v>2705.54</v>
      </c>
      <c r="L21" s="6">
        <v>2936.03</v>
      </c>
      <c r="M21" s="6">
        <v>0</v>
      </c>
      <c r="N21" s="6">
        <v>0</v>
      </c>
      <c r="O21" s="6">
        <v>44.317250158299998</v>
      </c>
      <c r="P21" s="6">
        <v>44.317250158299998</v>
      </c>
      <c r="Q21" s="6">
        <v>119.05500000000001</v>
      </c>
      <c r="R21" s="9">
        <f t="shared" si="0"/>
        <v>28184.994350300298</v>
      </c>
    </row>
    <row r="22" spans="1:18">
      <c r="A22" s="6" t="str">
        <f>"60077344"</f>
        <v>60077344</v>
      </c>
      <c r="B22" s="6" t="s">
        <v>43</v>
      </c>
      <c r="C22" s="6">
        <v>1601</v>
      </c>
      <c r="D22" s="6">
        <v>34034.773041196</v>
      </c>
      <c r="E22" s="6">
        <v>35080.924945095998</v>
      </c>
      <c r="F22" s="6">
        <v>0</v>
      </c>
      <c r="G22" s="6">
        <v>0</v>
      </c>
      <c r="H22" s="6">
        <v>0</v>
      </c>
      <c r="I22" s="6">
        <v>19.295300000000001</v>
      </c>
      <c r="J22" s="6">
        <v>11</v>
      </c>
      <c r="K22" s="6">
        <v>4850.87</v>
      </c>
      <c r="L22" s="6">
        <v>5236.71</v>
      </c>
      <c r="M22" s="6">
        <v>10</v>
      </c>
      <c r="N22" s="6">
        <v>10</v>
      </c>
      <c r="O22" s="6">
        <v>312.30674996200003</v>
      </c>
      <c r="P22" s="6">
        <v>322.30674996200003</v>
      </c>
      <c r="Q22" s="6">
        <v>1092.43</v>
      </c>
      <c r="R22" s="9">
        <f t="shared" si="0"/>
        <v>41732.371695057998</v>
      </c>
    </row>
    <row r="23" spans="1:18">
      <c r="A23" s="6" t="str">
        <f>"86652036"</f>
        <v>86652036</v>
      </c>
      <c r="B23" s="6" t="s">
        <v>44</v>
      </c>
      <c r="C23" s="6">
        <v>148</v>
      </c>
      <c r="D23" s="6">
        <v>3748.9508795330999</v>
      </c>
      <c r="E23" s="6">
        <v>4005.4383270756998</v>
      </c>
      <c r="F23" s="6">
        <v>0</v>
      </c>
      <c r="G23" s="6">
        <v>0</v>
      </c>
      <c r="H23" s="6">
        <v>0</v>
      </c>
      <c r="I23" s="6">
        <v>2.0714299999999999</v>
      </c>
      <c r="J23" s="6">
        <v>0</v>
      </c>
      <c r="K23" s="6">
        <v>682.47199999999998</v>
      </c>
      <c r="L23" s="6">
        <v>614.22500000000002</v>
      </c>
      <c r="M23" s="6">
        <v>120</v>
      </c>
      <c r="N23" s="6">
        <v>60</v>
      </c>
      <c r="O23" s="6">
        <v>46.178288351399999</v>
      </c>
      <c r="P23" s="6">
        <v>106.1782883514</v>
      </c>
      <c r="Q23" s="6">
        <v>594.21199999999999</v>
      </c>
      <c r="R23" s="9">
        <f t="shared" si="0"/>
        <v>5320.0536154270994</v>
      </c>
    </row>
    <row r="24" spans="1:18">
      <c r="A24" s="6" t="str">
        <f>"67985939"</f>
        <v>67985939</v>
      </c>
      <c r="B24" s="6" t="s">
        <v>45</v>
      </c>
      <c r="C24" s="6">
        <v>991</v>
      </c>
      <c r="D24" s="6">
        <v>23625.601063098002</v>
      </c>
      <c r="E24" s="6">
        <v>24399.243089471001</v>
      </c>
      <c r="F24" s="6">
        <v>1</v>
      </c>
      <c r="G24" s="6">
        <v>1</v>
      </c>
      <c r="H24" s="6">
        <v>2000</v>
      </c>
      <c r="I24" s="6">
        <v>3.6347</v>
      </c>
      <c r="J24" s="6">
        <v>2</v>
      </c>
      <c r="K24" s="6">
        <v>2753.74</v>
      </c>
      <c r="L24" s="6">
        <v>2794.31</v>
      </c>
      <c r="M24" s="6">
        <v>0</v>
      </c>
      <c r="N24" s="6">
        <v>0</v>
      </c>
      <c r="O24" s="6">
        <v>317.54219806549997</v>
      </c>
      <c r="P24" s="6">
        <v>317.54219806549997</v>
      </c>
      <c r="Q24" s="6">
        <v>881.31899999999996</v>
      </c>
      <c r="R24" s="9">
        <f t="shared" si="0"/>
        <v>30392.414287536503</v>
      </c>
    </row>
    <row r="25" spans="1:18">
      <c r="A25" s="6" t="str">
        <f>"49366378"</f>
        <v>49366378</v>
      </c>
      <c r="B25" s="6" t="s">
        <v>46</v>
      </c>
      <c r="C25" s="6">
        <v>7</v>
      </c>
      <c r="D25" s="6">
        <v>26.706000506877999</v>
      </c>
      <c r="E25" s="6">
        <v>35.515999853611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25.877700000000001</v>
      </c>
      <c r="L25" s="6">
        <v>23.289899999999999</v>
      </c>
      <c r="M25" s="6">
        <v>0</v>
      </c>
      <c r="N25" s="6"/>
      <c r="O25" s="6">
        <v>0</v>
      </c>
      <c r="P25" s="6">
        <v>0</v>
      </c>
      <c r="Q25" s="6">
        <v>160.58099999999999</v>
      </c>
      <c r="R25" s="9">
        <f t="shared" si="0"/>
        <v>219.386899853611</v>
      </c>
    </row>
    <row r="26" spans="1:18">
      <c r="A26" s="6" t="str">
        <f>"45249130"</f>
        <v>45249130</v>
      </c>
      <c r="B26" s="6" t="s">
        <v>47</v>
      </c>
      <c r="C26" s="6">
        <v>16</v>
      </c>
      <c r="D26" s="6">
        <v>103.10299989581</v>
      </c>
      <c r="E26" s="6">
        <v>103.81199908257</v>
      </c>
      <c r="F26" s="6">
        <v>0</v>
      </c>
      <c r="G26" s="6">
        <v>0</v>
      </c>
      <c r="H26" s="6">
        <v>0</v>
      </c>
      <c r="I26" s="6">
        <v>0.88888900000000004</v>
      </c>
      <c r="J26" s="6">
        <v>0</v>
      </c>
      <c r="K26" s="6">
        <v>29.808</v>
      </c>
      <c r="L26" s="6">
        <v>26.827200000000001</v>
      </c>
      <c r="M26" s="6">
        <v>0</v>
      </c>
      <c r="N26" s="6">
        <v>0</v>
      </c>
      <c r="O26" s="6">
        <v>44.153642404999999</v>
      </c>
      <c r="P26" s="6">
        <v>44.153642404999999</v>
      </c>
      <c r="Q26" s="6">
        <v>196.303</v>
      </c>
      <c r="R26" s="9">
        <f t="shared" si="0"/>
        <v>371.09584148757</v>
      </c>
    </row>
    <row r="27" spans="1:18">
      <c r="A27" s="6" t="str">
        <f>"44994575"</f>
        <v>44994575</v>
      </c>
      <c r="B27" s="6" t="s">
        <v>48</v>
      </c>
      <c r="C27" s="6">
        <v>68</v>
      </c>
      <c r="D27" s="6">
        <v>1119.8444159313001</v>
      </c>
      <c r="E27" s="6">
        <v>987.18895859536997</v>
      </c>
      <c r="F27" s="6">
        <v>0</v>
      </c>
      <c r="G27" s="6">
        <v>0</v>
      </c>
      <c r="H27" s="6">
        <v>0</v>
      </c>
      <c r="I27" s="6">
        <v>1.8</v>
      </c>
      <c r="J27" s="6">
        <v>0</v>
      </c>
      <c r="K27" s="6">
        <v>463.30599999999998</v>
      </c>
      <c r="L27" s="6">
        <v>416.97500000000002</v>
      </c>
      <c r="M27" s="6">
        <v>0</v>
      </c>
      <c r="N27" s="6">
        <v>0</v>
      </c>
      <c r="O27" s="6">
        <v>1282.1939621245999</v>
      </c>
      <c r="P27" s="6">
        <v>1282.1939621245999</v>
      </c>
      <c r="Q27" s="6">
        <v>4162.95</v>
      </c>
      <c r="R27" s="9">
        <f t="shared" si="0"/>
        <v>6849.3079207199698</v>
      </c>
    </row>
    <row r="28" spans="1:18">
      <c r="A28" s="6" t="str">
        <f>"25473361"</f>
        <v>25473361</v>
      </c>
      <c r="B28" s="6" t="s">
        <v>49</v>
      </c>
      <c r="C28" s="6">
        <v>16</v>
      </c>
      <c r="D28" s="6">
        <v>217.52999961376</v>
      </c>
      <c r="E28" s="6">
        <v>201.67699992657001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/>
      <c r="O28" s="6">
        <v>0</v>
      </c>
      <c r="P28" s="6">
        <v>0</v>
      </c>
      <c r="Q28" s="6">
        <v>0</v>
      </c>
      <c r="R28" s="9">
        <f t="shared" si="0"/>
        <v>201.67699992657001</v>
      </c>
    </row>
    <row r="29" spans="1:18">
      <c r="A29" s="6" t="str">
        <f>"28645413"</f>
        <v>28645413</v>
      </c>
      <c r="B29" s="6" t="s">
        <v>50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137.328257874</v>
      </c>
      <c r="P29" s="6">
        <v>137.328257874</v>
      </c>
      <c r="Q29" s="6">
        <v>69.533000000000001</v>
      </c>
      <c r="R29" s="9">
        <f t="shared" si="0"/>
        <v>206.86125787399999</v>
      </c>
    </row>
    <row r="30" spans="1:18">
      <c r="A30" s="6" t="str">
        <f>"00209775"</f>
        <v>00209775</v>
      </c>
      <c r="B30" s="6" t="s">
        <v>51</v>
      </c>
      <c r="C30" s="6">
        <v>78</v>
      </c>
      <c r="D30" s="6">
        <v>751.63770136106996</v>
      </c>
      <c r="E30" s="6">
        <v>697.54072711106005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43.274250731400002</v>
      </c>
      <c r="P30" s="6">
        <v>43.274250731400002</v>
      </c>
      <c r="Q30" s="6">
        <v>58.508000000000003</v>
      </c>
      <c r="R30" s="9">
        <f t="shared" si="0"/>
        <v>799.32297784246009</v>
      </c>
    </row>
    <row r="31" spans="1:18">
      <c r="A31" s="6" t="str">
        <f>"28778758"</f>
        <v>28778758</v>
      </c>
      <c r="B31" s="6" t="s">
        <v>52</v>
      </c>
      <c r="C31" s="6">
        <v>14</v>
      </c>
      <c r="D31" s="6">
        <v>174.29632701316001</v>
      </c>
      <c r="E31" s="6">
        <v>188.46628413386</v>
      </c>
      <c r="F31" s="6">
        <v>0</v>
      </c>
      <c r="G31" s="6">
        <v>0</v>
      </c>
      <c r="H31" s="6">
        <v>0</v>
      </c>
      <c r="I31" s="6">
        <v>1.1168800000000001</v>
      </c>
      <c r="J31" s="6">
        <v>0</v>
      </c>
      <c r="K31" s="6">
        <v>62.249400000000001</v>
      </c>
      <c r="L31" s="6">
        <v>56.024500000000003</v>
      </c>
      <c r="M31" s="6">
        <v>50</v>
      </c>
      <c r="N31" s="6">
        <v>16.670000076293999</v>
      </c>
      <c r="O31" s="6">
        <v>214.8987838779</v>
      </c>
      <c r="P31" s="6">
        <v>231.5687839542</v>
      </c>
      <c r="Q31" s="6">
        <v>824.846</v>
      </c>
      <c r="R31" s="9">
        <f t="shared" si="0"/>
        <v>1300.9055680880601</v>
      </c>
    </row>
    <row r="32" spans="1:18">
      <c r="A32" s="6" t="str">
        <f>"22686860"</f>
        <v>22686860</v>
      </c>
      <c r="B32" s="6" t="s">
        <v>53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126.489244222</v>
      </c>
      <c r="P32" s="6">
        <v>126.489244222</v>
      </c>
      <c r="Q32" s="6">
        <v>130.822</v>
      </c>
      <c r="R32" s="9">
        <f t="shared" si="0"/>
        <v>257.31124422200003</v>
      </c>
    </row>
    <row r="33" spans="1:18">
      <c r="A33" s="6" t="str">
        <f>"00237752"</f>
        <v>00237752</v>
      </c>
      <c r="B33" s="6" t="s">
        <v>54</v>
      </c>
      <c r="C33" s="6">
        <v>33</v>
      </c>
      <c r="D33" s="6">
        <v>319.15442745581998</v>
      </c>
      <c r="E33" s="6">
        <v>277.78336213774998</v>
      </c>
      <c r="F33" s="6">
        <v>0</v>
      </c>
      <c r="G33" s="6">
        <v>0</v>
      </c>
      <c r="H33" s="6">
        <v>0</v>
      </c>
      <c r="I33" s="6">
        <v>1</v>
      </c>
      <c r="J33" s="6">
        <v>0</v>
      </c>
      <c r="K33" s="6">
        <v>44.334899999999998</v>
      </c>
      <c r="L33" s="6">
        <v>39.901400000000002</v>
      </c>
      <c r="M33" s="6">
        <v>0</v>
      </c>
      <c r="N33" s="6">
        <v>0</v>
      </c>
      <c r="O33" s="6">
        <v>15.2359720203</v>
      </c>
      <c r="P33" s="6">
        <v>15.2359720203</v>
      </c>
      <c r="Q33" s="6">
        <v>0</v>
      </c>
      <c r="R33" s="9">
        <f t="shared" si="0"/>
        <v>332.92073415804998</v>
      </c>
    </row>
    <row r="34" spans="1:18">
      <c r="A34" s="6" t="str">
        <f>"67179843"</f>
        <v>67179843</v>
      </c>
      <c r="B34" s="6" t="s">
        <v>55</v>
      </c>
      <c r="C34" s="6">
        <v>432</v>
      </c>
      <c r="D34" s="6">
        <v>8311.5260756776006</v>
      </c>
      <c r="E34" s="6">
        <v>8460.1044787974006</v>
      </c>
      <c r="F34" s="6">
        <v>0</v>
      </c>
      <c r="G34" s="6">
        <v>0</v>
      </c>
      <c r="H34" s="6">
        <v>0</v>
      </c>
      <c r="I34" s="6">
        <v>5.0378499999999997</v>
      </c>
      <c r="J34" s="6">
        <v>0</v>
      </c>
      <c r="K34" s="6">
        <v>977.82100000000003</v>
      </c>
      <c r="L34" s="6">
        <v>880.03899999999999</v>
      </c>
      <c r="M34" s="6">
        <v>100</v>
      </c>
      <c r="N34" s="6">
        <v>100</v>
      </c>
      <c r="O34" s="6">
        <v>271.60932134389998</v>
      </c>
      <c r="P34" s="6">
        <v>371.60932134389998</v>
      </c>
      <c r="Q34" s="6">
        <v>495.86900000000003</v>
      </c>
      <c r="R34" s="9">
        <f t="shared" si="0"/>
        <v>10207.621800141302</v>
      </c>
    </row>
    <row r="35" spans="1:18">
      <c r="A35" s="6" t="str">
        <f>"26722445"</f>
        <v>26722445</v>
      </c>
      <c r="B35" s="6" t="s">
        <v>56</v>
      </c>
      <c r="C35" s="6">
        <v>146</v>
      </c>
      <c r="D35" s="6">
        <v>1812.429754043</v>
      </c>
      <c r="E35" s="6">
        <v>1718.4911031571</v>
      </c>
      <c r="F35" s="6">
        <v>0</v>
      </c>
      <c r="G35" s="6">
        <v>0</v>
      </c>
      <c r="H35" s="6">
        <v>0</v>
      </c>
      <c r="I35" s="6">
        <v>2.4444400000000002</v>
      </c>
      <c r="J35" s="6">
        <v>0</v>
      </c>
      <c r="K35" s="6">
        <v>664.976</v>
      </c>
      <c r="L35" s="6">
        <v>598.47799999999995</v>
      </c>
      <c r="M35" s="6">
        <v>10</v>
      </c>
      <c r="N35" s="6">
        <v>10</v>
      </c>
      <c r="O35" s="6">
        <v>2128.271007025</v>
      </c>
      <c r="P35" s="6">
        <v>2138.271007025</v>
      </c>
      <c r="Q35" s="6">
        <v>4069.07</v>
      </c>
      <c r="R35" s="9">
        <f t="shared" si="0"/>
        <v>8524.3101101820994</v>
      </c>
    </row>
    <row r="36" spans="1:18">
      <c r="A36" s="6" t="str">
        <f>"63839172"</f>
        <v>63839172</v>
      </c>
      <c r="B36" s="6" t="s">
        <v>57</v>
      </c>
      <c r="C36" s="6">
        <v>97</v>
      </c>
      <c r="D36" s="6">
        <v>1260.5540124526999</v>
      </c>
      <c r="E36" s="6">
        <v>985.78626412579001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391.483</v>
      </c>
      <c r="L36" s="6">
        <v>352.33499999999998</v>
      </c>
      <c r="M36" s="6">
        <v>410</v>
      </c>
      <c r="N36" s="6">
        <v>410</v>
      </c>
      <c r="O36" s="6">
        <v>68.224433100200002</v>
      </c>
      <c r="P36" s="6">
        <v>478.22443310019997</v>
      </c>
      <c r="Q36" s="6">
        <v>1729.81</v>
      </c>
      <c r="R36" s="9">
        <f t="shared" si="0"/>
        <v>3546.15569722599</v>
      </c>
    </row>
    <row r="37" spans="1:18">
      <c r="A37" s="6" t="str">
        <f>"26316919"</f>
        <v>26316919</v>
      </c>
      <c r="B37" s="6" t="s">
        <v>58</v>
      </c>
      <c r="C37" s="6">
        <v>85</v>
      </c>
      <c r="D37" s="6">
        <v>854.78329941229003</v>
      </c>
      <c r="E37" s="6">
        <v>703.96723240411995</v>
      </c>
      <c r="F37" s="6">
        <v>0</v>
      </c>
      <c r="G37" s="6">
        <v>0</v>
      </c>
      <c r="H37" s="6">
        <v>0</v>
      </c>
      <c r="I37" s="6">
        <v>1.5714300000000001</v>
      </c>
      <c r="J37" s="6">
        <v>0</v>
      </c>
      <c r="K37" s="6">
        <v>346.21899999999999</v>
      </c>
      <c r="L37" s="6">
        <v>311.59699999999998</v>
      </c>
      <c r="M37" s="6">
        <v>0</v>
      </c>
      <c r="N37" s="6">
        <v>0</v>
      </c>
      <c r="O37" s="6">
        <v>693.41056016020002</v>
      </c>
      <c r="P37" s="6">
        <v>693.41056016020002</v>
      </c>
      <c r="Q37" s="6">
        <v>2782.82</v>
      </c>
      <c r="R37" s="9">
        <f t="shared" si="0"/>
        <v>4491.7947925643202</v>
      </c>
    </row>
    <row r="38" spans="1:18">
      <c r="A38" s="6" t="str">
        <f>"26633191"</f>
        <v>26633191</v>
      </c>
      <c r="B38" s="6" t="s">
        <v>59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/>
      <c r="O38" s="6">
        <v>0</v>
      </c>
      <c r="P38" s="6">
        <v>0</v>
      </c>
      <c r="Q38" s="6">
        <v>0</v>
      </c>
      <c r="R38" s="9">
        <f t="shared" si="0"/>
        <v>0</v>
      </c>
    </row>
    <row r="39" spans="1:18">
      <c r="A39" s="6" t="str">
        <f>"00025798"</f>
        <v>00025798</v>
      </c>
      <c r="B39" s="6" t="s">
        <v>60</v>
      </c>
      <c r="C39" s="6">
        <v>660</v>
      </c>
      <c r="D39" s="6">
        <v>13231.911855703</v>
      </c>
      <c r="E39" s="6">
        <v>12490.045885948</v>
      </c>
      <c r="F39" s="6">
        <v>0</v>
      </c>
      <c r="G39" s="6">
        <v>0</v>
      </c>
      <c r="H39" s="6">
        <v>0</v>
      </c>
      <c r="I39" s="6">
        <v>8.33413</v>
      </c>
      <c r="J39" s="6">
        <v>3</v>
      </c>
      <c r="K39" s="6">
        <v>3569.79</v>
      </c>
      <c r="L39" s="6">
        <v>3786.96</v>
      </c>
      <c r="M39" s="6">
        <v>120</v>
      </c>
      <c r="N39" s="6">
        <v>120</v>
      </c>
      <c r="O39" s="6">
        <v>400.71628961779999</v>
      </c>
      <c r="P39" s="6">
        <v>520.71628961780004</v>
      </c>
      <c r="Q39" s="6">
        <v>11303.6</v>
      </c>
      <c r="R39" s="9">
        <f t="shared" si="0"/>
        <v>28101.322175565801</v>
      </c>
    </row>
    <row r="40" spans="1:18">
      <c r="A40" s="6" t="str">
        <f>"27142949"</f>
        <v>27142949</v>
      </c>
      <c r="B40" s="6" t="s">
        <v>61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/>
      <c r="O40" s="6">
        <v>0</v>
      </c>
      <c r="P40" s="6">
        <v>0</v>
      </c>
      <c r="Q40" s="6">
        <v>0</v>
      </c>
      <c r="R40" s="9">
        <f t="shared" si="0"/>
        <v>0</v>
      </c>
    </row>
    <row r="41" spans="1:18">
      <c r="A41" s="6" t="str">
        <f>"60460709"</f>
        <v>60460709</v>
      </c>
      <c r="B41" s="6" t="s">
        <v>62</v>
      </c>
      <c r="C41" s="6">
        <v>4275</v>
      </c>
      <c r="D41" s="6">
        <v>62618.437407532001</v>
      </c>
      <c r="E41" s="6">
        <v>57799.312563104999</v>
      </c>
      <c r="F41" s="6">
        <v>0</v>
      </c>
      <c r="G41" s="6">
        <v>0</v>
      </c>
      <c r="H41" s="6">
        <v>0</v>
      </c>
      <c r="I41" s="6">
        <v>13.4937</v>
      </c>
      <c r="J41" s="6">
        <v>5</v>
      </c>
      <c r="K41" s="6">
        <v>6812.44</v>
      </c>
      <c r="L41" s="6">
        <v>7474.43</v>
      </c>
      <c r="M41" s="6">
        <v>70</v>
      </c>
      <c r="N41" s="6">
        <v>36.700000762938998</v>
      </c>
      <c r="O41" s="6">
        <v>1770.5631055396</v>
      </c>
      <c r="P41" s="6">
        <v>1807.2631063025001</v>
      </c>
      <c r="Q41" s="6">
        <v>12996</v>
      </c>
      <c r="R41" s="9">
        <f t="shared" si="0"/>
        <v>80077.005669407503</v>
      </c>
    </row>
    <row r="42" spans="1:18">
      <c r="A42" s="6" t="str">
        <f>"68407700"</f>
        <v>68407700</v>
      </c>
      <c r="B42" s="6" t="s">
        <v>63</v>
      </c>
      <c r="C42" s="6">
        <v>10251</v>
      </c>
      <c r="D42" s="6">
        <v>140591.77634087999</v>
      </c>
      <c r="E42" s="6">
        <v>139273.34201280001</v>
      </c>
      <c r="F42" s="6">
        <v>0</v>
      </c>
      <c r="G42" s="6">
        <v>0</v>
      </c>
      <c r="H42" s="6">
        <v>0</v>
      </c>
      <c r="I42" s="6">
        <v>64.753</v>
      </c>
      <c r="J42" s="6">
        <v>33</v>
      </c>
      <c r="K42" s="6">
        <v>26913.200000000001</v>
      </c>
      <c r="L42" s="6">
        <v>27856.799999999999</v>
      </c>
      <c r="M42" s="6">
        <v>480</v>
      </c>
      <c r="N42" s="6">
        <v>422</v>
      </c>
      <c r="O42" s="6">
        <v>13144.267346096</v>
      </c>
      <c r="P42" s="6">
        <v>13566.267346096</v>
      </c>
      <c r="Q42" s="6">
        <v>70309.8</v>
      </c>
      <c r="R42" s="9">
        <f t="shared" si="0"/>
        <v>251006.20935889601</v>
      </c>
    </row>
    <row r="43" spans="1:18">
      <c r="A43" s="6" t="str">
        <f>"00177016"</f>
        <v>00177016</v>
      </c>
      <c r="B43" s="6" t="s">
        <v>64</v>
      </c>
      <c r="C43" s="6">
        <v>166</v>
      </c>
      <c r="D43" s="6">
        <v>2533.4526933456</v>
      </c>
      <c r="E43" s="6">
        <v>2877.9682335752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527.69635709950001</v>
      </c>
      <c r="P43" s="6">
        <v>527.69635709950001</v>
      </c>
      <c r="Q43" s="6">
        <v>1536.27</v>
      </c>
      <c r="R43" s="9">
        <f t="shared" si="0"/>
        <v>4941.9345906747003</v>
      </c>
    </row>
    <row r="44" spans="1:18">
      <c r="A44" s="6" t="str">
        <f>"00023761"</f>
        <v>00023761</v>
      </c>
      <c r="B44" s="6" t="s">
        <v>65</v>
      </c>
      <c r="C44" s="6">
        <v>243</v>
      </c>
      <c r="D44" s="6">
        <v>2952.4831968403</v>
      </c>
      <c r="E44" s="6">
        <v>2697.977413736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368.18299999999999</v>
      </c>
      <c r="L44" s="6">
        <v>331.36500000000001</v>
      </c>
      <c r="M44" s="6">
        <v>0</v>
      </c>
      <c r="N44" s="6">
        <v>0</v>
      </c>
      <c r="O44" s="6">
        <v>529.39378753929998</v>
      </c>
      <c r="P44" s="6">
        <v>529.39378753929998</v>
      </c>
      <c r="Q44" s="6">
        <v>1134.28</v>
      </c>
      <c r="R44" s="9">
        <f t="shared" si="0"/>
        <v>4693.0162012752999</v>
      </c>
    </row>
    <row r="45" spans="1:18">
      <c r="A45" s="6" t="str">
        <f>"25173154"</f>
        <v>25173154</v>
      </c>
      <c r="B45" s="6" t="s">
        <v>66</v>
      </c>
      <c r="C45" s="6">
        <v>73</v>
      </c>
      <c r="D45" s="6">
        <v>664.31051727932004</v>
      </c>
      <c r="E45" s="6">
        <v>680.48355405878999</v>
      </c>
      <c r="F45" s="6">
        <v>0</v>
      </c>
      <c r="G45" s="6">
        <v>0</v>
      </c>
      <c r="H45" s="6">
        <v>0</v>
      </c>
      <c r="I45" s="6">
        <v>1.3666700000000001</v>
      </c>
      <c r="J45" s="6">
        <v>1</v>
      </c>
      <c r="K45" s="6">
        <v>136.61500000000001</v>
      </c>
      <c r="L45" s="6">
        <v>134.864</v>
      </c>
      <c r="M45" s="6">
        <v>0</v>
      </c>
      <c r="N45" s="6">
        <v>0</v>
      </c>
      <c r="O45" s="6">
        <v>145.99946879570001</v>
      </c>
      <c r="P45" s="6">
        <v>145.99946879570001</v>
      </c>
      <c r="Q45" s="6">
        <v>240.10499999999999</v>
      </c>
      <c r="R45" s="9">
        <f t="shared" si="0"/>
        <v>1201.45202285449</v>
      </c>
    </row>
    <row r="46" spans="1:18">
      <c r="A46" s="6" t="str">
        <f>"68378076"</f>
        <v>68378076</v>
      </c>
      <c r="B46" s="6" t="s">
        <v>67</v>
      </c>
      <c r="C46" s="6">
        <v>277</v>
      </c>
      <c r="D46" s="6">
        <v>3626.0942471274002</v>
      </c>
      <c r="E46" s="6">
        <v>3373.9802945447</v>
      </c>
      <c r="F46" s="6">
        <v>0</v>
      </c>
      <c r="G46" s="6">
        <v>0</v>
      </c>
      <c r="H46" s="6">
        <v>0</v>
      </c>
      <c r="I46" s="6">
        <v>3.41404</v>
      </c>
      <c r="J46" s="6">
        <v>0</v>
      </c>
      <c r="K46" s="6">
        <v>401.29700000000003</v>
      </c>
      <c r="L46" s="6">
        <v>361.16699999999997</v>
      </c>
      <c r="M46" s="6">
        <v>0</v>
      </c>
      <c r="N46" s="6">
        <v>0</v>
      </c>
      <c r="O46" s="6">
        <v>3.3335079722000001</v>
      </c>
      <c r="P46" s="6">
        <v>3.3335079722000001</v>
      </c>
      <c r="Q46" s="6">
        <v>36.198999999999998</v>
      </c>
      <c r="R46" s="9">
        <f t="shared" si="0"/>
        <v>3774.6798025169001</v>
      </c>
    </row>
    <row r="47" spans="1:18">
      <c r="A47" s="6" t="str">
        <f>"65269705"</f>
        <v>65269705</v>
      </c>
      <c r="B47" s="6" t="s">
        <v>68</v>
      </c>
      <c r="C47" s="6">
        <v>910</v>
      </c>
      <c r="D47" s="6">
        <v>8053.0788260797999</v>
      </c>
      <c r="E47" s="6">
        <v>7497.6071611072002</v>
      </c>
      <c r="F47" s="6">
        <v>0</v>
      </c>
      <c r="G47" s="6">
        <v>0</v>
      </c>
      <c r="H47" s="6">
        <v>0</v>
      </c>
      <c r="I47" s="6">
        <v>1.4530000000000001</v>
      </c>
      <c r="J47" s="6">
        <v>1</v>
      </c>
      <c r="K47" s="6">
        <v>1124.74</v>
      </c>
      <c r="L47" s="6">
        <v>1175.05</v>
      </c>
      <c r="M47" s="6">
        <v>0</v>
      </c>
      <c r="N47" s="6">
        <v>0</v>
      </c>
      <c r="O47" s="6">
        <v>904.26005214539998</v>
      </c>
      <c r="P47" s="6">
        <v>904.26005214539998</v>
      </c>
      <c r="Q47" s="6">
        <v>1449.66</v>
      </c>
      <c r="R47" s="9">
        <f t="shared" si="0"/>
        <v>11026.5772132526</v>
      </c>
    </row>
    <row r="48" spans="1:18">
      <c r="A48" s="6" t="str">
        <f>"00179906"</f>
        <v>00179906</v>
      </c>
      <c r="B48" s="6" t="s">
        <v>69</v>
      </c>
      <c r="C48" s="6">
        <v>1435</v>
      </c>
      <c r="D48" s="6">
        <v>11927.927078559</v>
      </c>
      <c r="E48" s="6">
        <v>11131.530658395001</v>
      </c>
      <c r="F48" s="6">
        <v>0</v>
      </c>
      <c r="G48" s="6">
        <v>0</v>
      </c>
      <c r="H48" s="6">
        <v>0</v>
      </c>
      <c r="I48" s="6">
        <v>0.74126999999999998</v>
      </c>
      <c r="J48" s="6">
        <v>0</v>
      </c>
      <c r="K48" s="6">
        <v>1241.96</v>
      </c>
      <c r="L48" s="6">
        <v>1117.76</v>
      </c>
      <c r="M48" s="6">
        <v>0</v>
      </c>
      <c r="N48" s="6">
        <v>0</v>
      </c>
      <c r="O48" s="6">
        <v>1270.6800664907</v>
      </c>
      <c r="P48" s="6">
        <v>1270.6800664907</v>
      </c>
      <c r="Q48" s="6">
        <v>1377.96</v>
      </c>
      <c r="R48" s="9">
        <f t="shared" si="0"/>
        <v>14897.9307248857</v>
      </c>
    </row>
    <row r="49" spans="1:18">
      <c r="A49" s="6" t="str">
        <f>"00064173"</f>
        <v>00064173</v>
      </c>
      <c r="B49" s="6" t="s">
        <v>70</v>
      </c>
      <c r="C49" s="6">
        <v>431</v>
      </c>
      <c r="D49" s="6">
        <v>3159.7273980942</v>
      </c>
      <c r="E49" s="6">
        <v>2933.7388642945002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302.6129905825</v>
      </c>
      <c r="P49" s="6">
        <v>302.6129905825</v>
      </c>
      <c r="Q49" s="6">
        <v>500.245</v>
      </c>
      <c r="R49" s="9">
        <f t="shared" si="0"/>
        <v>3736.5968548770002</v>
      </c>
    </row>
    <row r="50" spans="1:18">
      <c r="A50" s="6" t="str">
        <f>"00098892"</f>
        <v>00098892</v>
      </c>
      <c r="B50" s="6" t="s">
        <v>71</v>
      </c>
      <c r="C50" s="6">
        <v>330</v>
      </c>
      <c r="D50" s="6">
        <v>2547.0688109836001</v>
      </c>
      <c r="E50" s="6">
        <v>2332.9701723179001</v>
      </c>
      <c r="F50" s="6">
        <v>0</v>
      </c>
      <c r="G50" s="6">
        <v>0</v>
      </c>
      <c r="H50" s="6">
        <v>0</v>
      </c>
      <c r="I50" s="6">
        <v>0.5</v>
      </c>
      <c r="J50" s="6">
        <v>0</v>
      </c>
      <c r="K50" s="6">
        <v>141.375</v>
      </c>
      <c r="L50" s="6">
        <v>127.238</v>
      </c>
      <c r="M50" s="6">
        <v>0</v>
      </c>
      <c r="N50" s="6">
        <v>0</v>
      </c>
      <c r="O50" s="6">
        <v>566.73725721580001</v>
      </c>
      <c r="P50" s="6">
        <v>566.73725721580001</v>
      </c>
      <c r="Q50" s="6">
        <v>1116.58</v>
      </c>
      <c r="R50" s="9">
        <f t="shared" si="0"/>
        <v>4143.5254295336999</v>
      </c>
    </row>
    <row r="51" spans="1:18">
      <c r="A51" s="6" t="str">
        <f>"00843989"</f>
        <v>00843989</v>
      </c>
      <c r="B51" s="6" t="s">
        <v>72</v>
      </c>
      <c r="C51" s="6">
        <v>495</v>
      </c>
      <c r="D51" s="6">
        <v>5500.2304542580996</v>
      </c>
      <c r="E51" s="6">
        <v>5044.3500662068</v>
      </c>
      <c r="F51" s="6">
        <v>0</v>
      </c>
      <c r="G51" s="6">
        <v>0</v>
      </c>
      <c r="H51" s="6">
        <v>0</v>
      </c>
      <c r="I51" s="6">
        <v>1.68889</v>
      </c>
      <c r="J51" s="6">
        <v>0</v>
      </c>
      <c r="K51" s="6">
        <v>809.09699999999998</v>
      </c>
      <c r="L51" s="6">
        <v>728.18700000000001</v>
      </c>
      <c r="M51" s="6">
        <v>100</v>
      </c>
      <c r="N51" s="6">
        <v>100</v>
      </c>
      <c r="O51" s="6">
        <v>171.09280794840001</v>
      </c>
      <c r="P51" s="6">
        <v>271.09280794839998</v>
      </c>
      <c r="Q51" s="6">
        <v>563.28300000000002</v>
      </c>
      <c r="R51" s="9">
        <f t="shared" si="0"/>
        <v>6606.9128741552004</v>
      </c>
    </row>
    <row r="52" spans="1:18">
      <c r="A52" s="6" t="str">
        <f>"00669806"</f>
        <v>00669806</v>
      </c>
      <c r="B52" s="6" t="s">
        <v>73</v>
      </c>
      <c r="C52" s="6">
        <v>601</v>
      </c>
      <c r="D52" s="6">
        <v>4830.2808818587</v>
      </c>
      <c r="E52" s="6">
        <v>4344.2085552141998</v>
      </c>
      <c r="F52" s="6">
        <v>0</v>
      </c>
      <c r="G52" s="6">
        <v>0</v>
      </c>
      <c r="H52" s="6">
        <v>0</v>
      </c>
      <c r="I52" s="6">
        <v>0.27222200000000002</v>
      </c>
      <c r="J52" s="6">
        <v>1</v>
      </c>
      <c r="K52" s="6">
        <v>697.40099999999995</v>
      </c>
      <c r="L52" s="6">
        <v>703.97299999999996</v>
      </c>
      <c r="M52" s="6">
        <v>0</v>
      </c>
      <c r="N52" s="6">
        <v>0</v>
      </c>
      <c r="O52" s="6">
        <v>201.81016361889999</v>
      </c>
      <c r="P52" s="6">
        <v>201.81016361889999</v>
      </c>
      <c r="Q52" s="6">
        <v>438.08800000000002</v>
      </c>
      <c r="R52" s="9">
        <f t="shared" si="0"/>
        <v>5688.0797188330998</v>
      </c>
    </row>
    <row r="53" spans="1:18">
      <c r="A53" s="6" t="str">
        <f>"00159816"</f>
        <v>00159816</v>
      </c>
      <c r="B53" s="6" t="s">
        <v>74</v>
      </c>
      <c r="C53" s="6">
        <v>689</v>
      </c>
      <c r="D53" s="6">
        <v>7467.5647927583996</v>
      </c>
      <c r="E53" s="6">
        <v>6962.5008453747996</v>
      </c>
      <c r="F53" s="6">
        <v>0</v>
      </c>
      <c r="G53" s="6">
        <v>0</v>
      </c>
      <c r="H53" s="6">
        <v>0</v>
      </c>
      <c r="I53" s="6">
        <v>0.94142899999999996</v>
      </c>
      <c r="J53" s="6">
        <v>1</v>
      </c>
      <c r="K53" s="6">
        <v>430.065</v>
      </c>
      <c r="L53" s="6">
        <v>487.75400000000002</v>
      </c>
      <c r="M53" s="6">
        <v>0</v>
      </c>
      <c r="N53" s="6">
        <v>0</v>
      </c>
      <c r="O53" s="6">
        <v>365.86783817819997</v>
      </c>
      <c r="P53" s="6">
        <v>365.86783817819997</v>
      </c>
      <c r="Q53" s="6">
        <v>715.63699999999994</v>
      </c>
      <c r="R53" s="9">
        <f t="shared" si="0"/>
        <v>8531.7596835530003</v>
      </c>
    </row>
    <row r="54" spans="1:18">
      <c r="A54" s="6" t="str">
        <f>"00064203"</f>
        <v>00064203</v>
      </c>
      <c r="B54" s="6" t="s">
        <v>75</v>
      </c>
      <c r="C54" s="6">
        <v>1802</v>
      </c>
      <c r="D54" s="6">
        <v>15174.346839341</v>
      </c>
      <c r="E54" s="6">
        <v>14162.080835895</v>
      </c>
      <c r="F54" s="6">
        <v>0</v>
      </c>
      <c r="G54" s="6">
        <v>0</v>
      </c>
      <c r="H54" s="6">
        <v>0</v>
      </c>
      <c r="I54" s="6">
        <v>6.6472100000000003</v>
      </c>
      <c r="J54" s="6">
        <v>3</v>
      </c>
      <c r="K54" s="6">
        <v>2333.94</v>
      </c>
      <c r="L54" s="6">
        <v>2284.62</v>
      </c>
      <c r="M54" s="6">
        <v>0</v>
      </c>
      <c r="N54" s="6">
        <v>0</v>
      </c>
      <c r="O54" s="6">
        <v>777.91396470760003</v>
      </c>
      <c r="P54" s="6">
        <v>777.91396470760003</v>
      </c>
      <c r="Q54" s="6">
        <v>1813.58</v>
      </c>
      <c r="R54" s="9">
        <f t="shared" si="0"/>
        <v>19038.1948006026</v>
      </c>
    </row>
    <row r="55" spans="1:18">
      <c r="A55" s="6" t="str">
        <f>"67985955"</f>
        <v>67985955</v>
      </c>
      <c r="B55" s="6" t="s">
        <v>76</v>
      </c>
      <c r="C55" s="6">
        <v>1094</v>
      </c>
      <c r="D55" s="6">
        <v>15071.353798901</v>
      </c>
      <c r="E55" s="6">
        <v>12558.291884867</v>
      </c>
      <c r="F55" s="6">
        <v>1</v>
      </c>
      <c r="G55" s="6">
        <v>1</v>
      </c>
      <c r="H55" s="6">
        <v>2000</v>
      </c>
      <c r="I55" s="6">
        <v>5.8</v>
      </c>
      <c r="J55" s="6">
        <v>0</v>
      </c>
      <c r="K55" s="6">
        <v>1627.27</v>
      </c>
      <c r="L55" s="6">
        <v>1464.54</v>
      </c>
      <c r="M55" s="6">
        <v>0</v>
      </c>
      <c r="N55" s="6">
        <v>0</v>
      </c>
      <c r="O55" s="6">
        <v>44.787622448900002</v>
      </c>
      <c r="P55" s="6">
        <v>44.787622448900002</v>
      </c>
      <c r="Q55" s="6">
        <v>62.26</v>
      </c>
      <c r="R55" s="9">
        <f t="shared" si="0"/>
        <v>16129.879507315898</v>
      </c>
    </row>
    <row r="56" spans="1:18">
      <c r="A56" s="6" t="str">
        <f>"68378271"</f>
        <v>68378271</v>
      </c>
      <c r="B56" s="6" t="s">
        <v>77</v>
      </c>
      <c r="C56" s="6">
        <v>3283</v>
      </c>
      <c r="D56" s="6">
        <v>67394.446116378007</v>
      </c>
      <c r="E56" s="6">
        <v>90687.314344921004</v>
      </c>
      <c r="F56" s="6">
        <v>2</v>
      </c>
      <c r="G56" s="6">
        <v>2</v>
      </c>
      <c r="H56" s="6">
        <v>4000</v>
      </c>
      <c r="I56" s="6">
        <v>31.981999999999999</v>
      </c>
      <c r="J56" s="6">
        <v>19</v>
      </c>
      <c r="K56" s="6">
        <v>13018.1</v>
      </c>
      <c r="L56" s="6">
        <v>13505.9</v>
      </c>
      <c r="M56" s="6">
        <v>80</v>
      </c>
      <c r="N56" s="6">
        <v>39</v>
      </c>
      <c r="O56" s="6">
        <v>351.1226894175</v>
      </c>
      <c r="P56" s="6">
        <v>390.1226894175</v>
      </c>
      <c r="Q56" s="6">
        <v>1392.71</v>
      </c>
      <c r="R56" s="9">
        <f t="shared" si="0"/>
        <v>109976.04703433851</v>
      </c>
    </row>
    <row r="57" spans="1:18">
      <c r="A57" s="6" t="str">
        <f>"67985823"</f>
        <v>67985823</v>
      </c>
      <c r="B57" s="6" t="s">
        <v>78</v>
      </c>
      <c r="C57" s="6">
        <v>739</v>
      </c>
      <c r="D57" s="6">
        <v>18714.838475576002</v>
      </c>
      <c r="E57" s="6">
        <v>18743.144528612</v>
      </c>
      <c r="F57" s="6">
        <v>0</v>
      </c>
      <c r="G57" s="6">
        <v>0</v>
      </c>
      <c r="H57" s="6">
        <v>0</v>
      </c>
      <c r="I57" s="6">
        <v>12.595499999999999</v>
      </c>
      <c r="J57" s="6">
        <v>4</v>
      </c>
      <c r="K57" s="6">
        <v>2944.21</v>
      </c>
      <c r="L57" s="6">
        <v>3019.1</v>
      </c>
      <c r="M57" s="6">
        <v>340</v>
      </c>
      <c r="N57" s="6">
        <v>54.409999608993999</v>
      </c>
      <c r="O57" s="6">
        <v>506.2637414253</v>
      </c>
      <c r="P57" s="6">
        <v>560.6737410344</v>
      </c>
      <c r="Q57" s="6">
        <v>1997.2</v>
      </c>
      <c r="R57" s="9">
        <f t="shared" si="0"/>
        <v>24320.118269646398</v>
      </c>
    </row>
    <row r="58" spans="1:18">
      <c r="A58" s="6" t="str">
        <f>"60702672"</f>
        <v>60702672</v>
      </c>
      <c r="B58" s="6" t="s">
        <v>79</v>
      </c>
      <c r="C58" s="6">
        <v>5</v>
      </c>
      <c r="D58" s="6">
        <v>72.287001848220996</v>
      </c>
      <c r="E58" s="6">
        <v>77.653000831604004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23.804928096099999</v>
      </c>
      <c r="P58" s="6">
        <v>23.804928096099999</v>
      </c>
      <c r="Q58" s="6">
        <v>30.824000000000002</v>
      </c>
      <c r="R58" s="9">
        <f t="shared" si="0"/>
        <v>132.281928927704</v>
      </c>
    </row>
    <row r="59" spans="1:18">
      <c r="A59" s="6" t="str">
        <f>"67985530"</f>
        <v>67985530</v>
      </c>
      <c r="B59" s="6" t="s">
        <v>80</v>
      </c>
      <c r="C59" s="6">
        <v>220</v>
      </c>
      <c r="D59" s="6">
        <v>5737.7218420788004</v>
      </c>
      <c r="E59" s="6">
        <v>5586.1421925883997</v>
      </c>
      <c r="F59" s="6">
        <v>0</v>
      </c>
      <c r="G59" s="6">
        <v>0</v>
      </c>
      <c r="H59" s="6">
        <v>0</v>
      </c>
      <c r="I59" s="6">
        <v>3.9841299999999999</v>
      </c>
      <c r="J59" s="6">
        <v>1</v>
      </c>
      <c r="K59" s="6">
        <v>755.15499999999997</v>
      </c>
      <c r="L59" s="6">
        <v>792.55799999999999</v>
      </c>
      <c r="M59" s="6">
        <v>0</v>
      </c>
      <c r="N59" s="6">
        <v>0</v>
      </c>
      <c r="O59" s="6">
        <v>14.8269526372</v>
      </c>
      <c r="P59" s="6">
        <v>14.8269526372</v>
      </c>
      <c r="Q59" s="6">
        <v>138.44300000000001</v>
      </c>
      <c r="R59" s="9">
        <f t="shared" si="0"/>
        <v>6531.9701452255995</v>
      </c>
    </row>
    <row r="60" spans="1:18">
      <c r="A60" s="6" t="str">
        <f>"67985831"</f>
        <v>67985831</v>
      </c>
      <c r="B60" s="6" t="s">
        <v>81</v>
      </c>
      <c r="C60" s="6">
        <v>410</v>
      </c>
      <c r="D60" s="6">
        <v>6108.7215673571</v>
      </c>
      <c r="E60" s="6">
        <v>5962.5776264635997</v>
      </c>
      <c r="F60" s="6">
        <v>0</v>
      </c>
      <c r="G60" s="6">
        <v>0</v>
      </c>
      <c r="H60" s="6">
        <v>0</v>
      </c>
      <c r="I60" s="6">
        <v>3.05714</v>
      </c>
      <c r="J60" s="6">
        <v>0</v>
      </c>
      <c r="K60" s="6">
        <v>682.654</v>
      </c>
      <c r="L60" s="6">
        <v>614.38900000000001</v>
      </c>
      <c r="M60" s="6">
        <v>0</v>
      </c>
      <c r="N60" s="6">
        <v>0</v>
      </c>
      <c r="O60" s="6">
        <v>14.0498158093</v>
      </c>
      <c r="P60" s="6">
        <v>14.0498158093</v>
      </c>
      <c r="Q60" s="6">
        <v>242.161</v>
      </c>
      <c r="R60" s="9">
        <f t="shared" si="0"/>
        <v>6833.1774422728995</v>
      </c>
    </row>
    <row r="61" spans="1:18">
      <c r="A61" s="6" t="str">
        <f>"67985963"</f>
        <v>67985963</v>
      </c>
      <c r="B61" s="6" t="s">
        <v>82</v>
      </c>
      <c r="C61" s="6">
        <v>598</v>
      </c>
      <c r="D61" s="6">
        <v>7361.0950455253997</v>
      </c>
      <c r="E61" s="6">
        <v>7003.1598884339001</v>
      </c>
      <c r="F61" s="6">
        <v>0</v>
      </c>
      <c r="G61" s="6">
        <v>0</v>
      </c>
      <c r="H61" s="6">
        <v>0</v>
      </c>
      <c r="I61" s="6">
        <v>3.39798</v>
      </c>
      <c r="J61" s="6">
        <v>0</v>
      </c>
      <c r="K61" s="6">
        <v>959.60599999999999</v>
      </c>
      <c r="L61" s="6">
        <v>863.64499999999998</v>
      </c>
      <c r="M61" s="6">
        <v>0</v>
      </c>
      <c r="N61" s="6">
        <v>0</v>
      </c>
      <c r="O61" s="6">
        <v>115.9569951073</v>
      </c>
      <c r="P61" s="6">
        <v>115.9569951073</v>
      </c>
      <c r="Q61" s="6">
        <v>237.61099999999999</v>
      </c>
      <c r="R61" s="9">
        <f t="shared" si="0"/>
        <v>8220.3728835412003</v>
      </c>
    </row>
    <row r="62" spans="1:18">
      <c r="A62" s="6" t="str">
        <f>"00072486"</f>
        <v>00072486</v>
      </c>
      <c r="B62" s="6" t="s">
        <v>83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55.013107026199997</v>
      </c>
      <c r="P62" s="6">
        <v>55.013107026199997</v>
      </c>
      <c r="Q62" s="6">
        <v>88.774000000000001</v>
      </c>
      <c r="R62" s="9">
        <f t="shared" si="0"/>
        <v>143.7871070262</v>
      </c>
    </row>
    <row r="63" spans="1:18">
      <c r="A63" s="6" t="str">
        <f>"14864347"</f>
        <v>14864347</v>
      </c>
      <c r="B63" s="6" t="s">
        <v>84</v>
      </c>
      <c r="C63" s="6">
        <v>35</v>
      </c>
      <c r="D63" s="6">
        <v>624.61368224281</v>
      </c>
      <c r="E63" s="6">
        <v>541.24471065202999</v>
      </c>
      <c r="F63" s="6">
        <v>0</v>
      </c>
      <c r="G63" s="6">
        <v>0</v>
      </c>
      <c r="H63" s="6">
        <v>0</v>
      </c>
      <c r="I63" s="6">
        <v>1</v>
      </c>
      <c r="J63" s="6">
        <v>0</v>
      </c>
      <c r="K63" s="6">
        <v>190.98099999999999</v>
      </c>
      <c r="L63" s="6">
        <v>171.88300000000001</v>
      </c>
      <c r="M63" s="6">
        <v>20</v>
      </c>
      <c r="N63" s="6">
        <v>10</v>
      </c>
      <c r="O63" s="6">
        <v>115.01625052609999</v>
      </c>
      <c r="P63" s="6">
        <v>125.01625052609999</v>
      </c>
      <c r="Q63" s="6">
        <v>827.34299999999996</v>
      </c>
      <c r="R63" s="9">
        <f t="shared" si="0"/>
        <v>1665.4869611781301</v>
      </c>
    </row>
    <row r="64" spans="1:18">
      <c r="A64" s="6" t="str">
        <f>"24759384"</f>
        <v>24759384</v>
      </c>
      <c r="B64" s="6" t="s">
        <v>85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/>
      <c r="O64" s="6">
        <v>0</v>
      </c>
      <c r="P64" s="6">
        <v>0</v>
      </c>
      <c r="Q64" s="6">
        <v>0</v>
      </c>
      <c r="R64" s="9">
        <f t="shared" si="0"/>
        <v>0</v>
      </c>
    </row>
    <row r="65" spans="1:18">
      <c r="A65" s="6" t="str">
        <f>"00023001"</f>
        <v>00023001</v>
      </c>
      <c r="B65" s="6" t="s">
        <v>86</v>
      </c>
      <c r="C65" s="6">
        <v>923</v>
      </c>
      <c r="D65" s="6">
        <v>15220.760919348</v>
      </c>
      <c r="E65" s="6">
        <v>14198.263994104</v>
      </c>
      <c r="F65" s="6">
        <v>0</v>
      </c>
      <c r="G65" s="6">
        <v>0</v>
      </c>
      <c r="H65" s="6">
        <v>0</v>
      </c>
      <c r="I65" s="6">
        <v>6.1266100000000003</v>
      </c>
      <c r="J65" s="6">
        <v>4</v>
      </c>
      <c r="K65" s="6">
        <v>2931.06</v>
      </c>
      <c r="L65" s="6">
        <v>3601.3</v>
      </c>
      <c r="M65" s="6">
        <v>0</v>
      </c>
      <c r="N65" s="6">
        <v>0</v>
      </c>
      <c r="O65" s="6">
        <v>1241.2920238153999</v>
      </c>
      <c r="P65" s="6">
        <v>1241.2920238153999</v>
      </c>
      <c r="Q65" s="6">
        <v>2306.79</v>
      </c>
      <c r="R65" s="9">
        <f t="shared" si="0"/>
        <v>21347.6460179194</v>
      </c>
    </row>
    <row r="66" spans="1:18">
      <c r="A66" s="6" t="str">
        <f>"00023841"</f>
        <v>00023841</v>
      </c>
      <c r="B66" s="6" t="s">
        <v>87</v>
      </c>
      <c r="C66" s="6">
        <v>5</v>
      </c>
      <c r="D66" s="6">
        <v>13.553999900818001</v>
      </c>
      <c r="E66" s="6">
        <v>11.937000155449001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/>
      <c r="O66" s="6">
        <v>0</v>
      </c>
      <c r="P66" s="6">
        <v>0</v>
      </c>
      <c r="Q66" s="6">
        <v>0</v>
      </c>
      <c r="R66" s="9">
        <f t="shared" si="0"/>
        <v>11.937000155449001</v>
      </c>
    </row>
    <row r="67" spans="1:18">
      <c r="A67" s="6" t="str">
        <f>"48136841"</f>
        <v>48136841</v>
      </c>
      <c r="B67" s="6" t="s">
        <v>88</v>
      </c>
      <c r="C67" s="6">
        <v>108</v>
      </c>
      <c r="D67" s="6">
        <v>1618.5656355046001</v>
      </c>
      <c r="E67" s="6">
        <v>1586.3421257985001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6">
        <v>188.001</v>
      </c>
      <c r="L67" s="6">
        <v>169.20099999999999</v>
      </c>
      <c r="M67" s="6">
        <v>0</v>
      </c>
      <c r="N67" s="6">
        <v>0</v>
      </c>
      <c r="O67" s="6">
        <v>30.594649855499998</v>
      </c>
      <c r="P67" s="6">
        <v>30.594649855499998</v>
      </c>
      <c r="Q67" s="6">
        <v>52.947000000000003</v>
      </c>
      <c r="R67" s="9">
        <f t="shared" si="0"/>
        <v>1839.0847756540002</v>
      </c>
    </row>
    <row r="68" spans="1:18">
      <c r="A68" s="6" t="str">
        <f>"00023205"</f>
        <v>00023205</v>
      </c>
      <c r="B68" s="6" t="s">
        <v>89</v>
      </c>
      <c r="C68" s="6">
        <v>68</v>
      </c>
      <c r="D68" s="6">
        <v>1122.9182279325</v>
      </c>
      <c r="E68" s="6">
        <v>1073.2487800537001</v>
      </c>
      <c r="F68" s="6">
        <v>0</v>
      </c>
      <c r="G68" s="6">
        <v>0</v>
      </c>
      <c r="H68" s="6">
        <v>0</v>
      </c>
      <c r="I68" s="6">
        <v>0.1</v>
      </c>
      <c r="J68" s="6">
        <v>0</v>
      </c>
      <c r="K68" s="6">
        <v>145.17699999999999</v>
      </c>
      <c r="L68" s="6">
        <v>130.65899999999999</v>
      </c>
      <c r="M68" s="6">
        <v>0</v>
      </c>
      <c r="N68" s="6">
        <v>0</v>
      </c>
      <c r="O68" s="6">
        <v>82.928679922399994</v>
      </c>
      <c r="P68" s="6">
        <v>82.928679922399994</v>
      </c>
      <c r="Q68" s="6">
        <v>167.489</v>
      </c>
      <c r="R68" s="9">
        <f t="shared" si="0"/>
        <v>1454.3254599761003</v>
      </c>
    </row>
    <row r="69" spans="1:18">
      <c r="A69" s="6" t="str">
        <f>"02277387"</f>
        <v>02277387</v>
      </c>
      <c r="B69" s="6" t="s">
        <v>90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22.843732545799998</v>
      </c>
      <c r="P69" s="6">
        <v>22.843732545799998</v>
      </c>
      <c r="Q69" s="6">
        <v>0</v>
      </c>
      <c r="R69" s="9">
        <f t="shared" ref="R69:R132" si="1">E69+H69+L69+P69+Q69</f>
        <v>22.843732545799998</v>
      </c>
    </row>
    <row r="70" spans="1:18">
      <c r="A70" s="6" t="str">
        <f>"60445815"</f>
        <v>60445815</v>
      </c>
      <c r="B70" s="6" t="s">
        <v>91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/>
      <c r="O70" s="6">
        <v>0</v>
      </c>
      <c r="P70" s="6">
        <v>0</v>
      </c>
      <c r="Q70" s="6">
        <v>0</v>
      </c>
      <c r="R70" s="9">
        <f t="shared" si="1"/>
        <v>0</v>
      </c>
    </row>
    <row r="71" spans="1:18">
      <c r="A71" s="6" t="str">
        <f>"62156462"</f>
        <v>62156462</v>
      </c>
      <c r="B71" s="6" t="s">
        <v>92</v>
      </c>
      <c r="C71" s="6">
        <v>85</v>
      </c>
      <c r="D71" s="6">
        <v>1762.1950236576999</v>
      </c>
      <c r="E71" s="6">
        <v>1670.4165303723</v>
      </c>
      <c r="F71" s="6">
        <v>0</v>
      </c>
      <c r="G71" s="6">
        <v>0</v>
      </c>
      <c r="H71" s="6">
        <v>0</v>
      </c>
      <c r="I71" s="6">
        <v>1</v>
      </c>
      <c r="J71" s="6">
        <v>0</v>
      </c>
      <c r="K71" s="6">
        <v>213.10300000000001</v>
      </c>
      <c r="L71" s="6">
        <v>191.79300000000001</v>
      </c>
      <c r="M71" s="6">
        <v>0</v>
      </c>
      <c r="N71" s="6"/>
      <c r="O71" s="6">
        <v>0</v>
      </c>
      <c r="P71" s="6">
        <v>0</v>
      </c>
      <c r="Q71" s="6">
        <v>0</v>
      </c>
      <c r="R71" s="9">
        <f t="shared" si="1"/>
        <v>1862.2095303722999</v>
      </c>
    </row>
    <row r="72" spans="1:18">
      <c r="A72" s="6" t="str">
        <f>"60076658"</f>
        <v>60076658</v>
      </c>
      <c r="B72" s="6" t="s">
        <v>93</v>
      </c>
      <c r="C72" s="6">
        <v>4180</v>
      </c>
      <c r="D72" s="6">
        <v>62770.682250730999</v>
      </c>
      <c r="E72" s="6">
        <v>64241.096035328999</v>
      </c>
      <c r="F72" s="6">
        <v>0</v>
      </c>
      <c r="G72" s="6">
        <v>0</v>
      </c>
      <c r="H72" s="6">
        <v>0</v>
      </c>
      <c r="I72" s="6">
        <v>22.14</v>
      </c>
      <c r="J72" s="6">
        <v>12</v>
      </c>
      <c r="K72" s="6">
        <v>8716.75</v>
      </c>
      <c r="L72" s="6">
        <v>8895.8700000000008</v>
      </c>
      <c r="M72" s="6">
        <v>85</v>
      </c>
      <c r="N72" s="6">
        <v>85</v>
      </c>
      <c r="O72" s="6">
        <v>612.5678790915</v>
      </c>
      <c r="P72" s="6">
        <v>697.5678790915</v>
      </c>
      <c r="Q72" s="6">
        <v>4737.43</v>
      </c>
      <c r="R72" s="9">
        <f t="shared" si="1"/>
        <v>78571.963914420485</v>
      </c>
    </row>
    <row r="73" spans="1:18">
      <c r="A73" s="6" t="str">
        <f>"67985971"</f>
        <v>67985971</v>
      </c>
      <c r="B73" s="6" t="s">
        <v>94</v>
      </c>
      <c r="C73" s="6">
        <v>20</v>
      </c>
      <c r="D73" s="6">
        <v>136.56981980897999</v>
      </c>
      <c r="E73" s="6">
        <v>118.27121673534</v>
      </c>
      <c r="F73" s="6">
        <v>0</v>
      </c>
      <c r="G73" s="6">
        <v>0</v>
      </c>
      <c r="H73" s="6">
        <v>0</v>
      </c>
      <c r="I73" s="6">
        <v>3.3333300000000001</v>
      </c>
      <c r="J73" s="6">
        <v>0</v>
      </c>
      <c r="K73" s="6">
        <v>44.054099999999998</v>
      </c>
      <c r="L73" s="6">
        <v>39.648699999999998</v>
      </c>
      <c r="M73" s="6">
        <v>0</v>
      </c>
      <c r="N73" s="6">
        <v>0</v>
      </c>
      <c r="O73" s="6">
        <v>87.059775691699997</v>
      </c>
      <c r="P73" s="6">
        <v>87.059775691699997</v>
      </c>
      <c r="Q73" s="6">
        <v>331.23500000000001</v>
      </c>
      <c r="R73" s="9">
        <f t="shared" si="1"/>
        <v>576.21469242704006</v>
      </c>
    </row>
    <row r="74" spans="1:18">
      <c r="A74" s="6" t="str">
        <f>"00216224"</f>
        <v>00216224</v>
      </c>
      <c r="B74" s="6" t="s">
        <v>95</v>
      </c>
      <c r="C74" s="6">
        <v>13746</v>
      </c>
      <c r="D74" s="6">
        <v>206686.61390299001</v>
      </c>
      <c r="E74" s="6">
        <v>201450.64889883</v>
      </c>
      <c r="F74" s="6">
        <v>1</v>
      </c>
      <c r="G74" s="6">
        <v>1</v>
      </c>
      <c r="H74" s="6">
        <v>2000</v>
      </c>
      <c r="I74" s="6">
        <v>55.046199999999999</v>
      </c>
      <c r="J74" s="6">
        <v>18</v>
      </c>
      <c r="K74" s="6">
        <v>25165.8</v>
      </c>
      <c r="L74" s="6">
        <v>26108.2</v>
      </c>
      <c r="M74" s="6">
        <v>560</v>
      </c>
      <c r="N74" s="6">
        <v>472.53000259398999</v>
      </c>
      <c r="O74" s="6">
        <v>2438.4304052255002</v>
      </c>
      <c r="P74" s="6">
        <v>2910.9604078194998</v>
      </c>
      <c r="Q74" s="6">
        <v>9114.7900000000009</v>
      </c>
      <c r="R74" s="9">
        <f t="shared" si="1"/>
        <v>241584.59930664953</v>
      </c>
    </row>
    <row r="75" spans="1:18">
      <c r="A75" s="6" t="str">
        <f>"00209805"</f>
        <v>00209805</v>
      </c>
      <c r="B75" s="6" t="s">
        <v>96</v>
      </c>
      <c r="C75" s="6">
        <v>299</v>
      </c>
      <c r="D75" s="6">
        <v>4167.9581089859003</v>
      </c>
      <c r="E75" s="6">
        <v>3984.2974139866001</v>
      </c>
      <c r="F75" s="6">
        <v>0</v>
      </c>
      <c r="G75" s="6">
        <v>0</v>
      </c>
      <c r="H75" s="6">
        <v>0</v>
      </c>
      <c r="I75" s="6">
        <v>0.8</v>
      </c>
      <c r="J75" s="6">
        <v>1</v>
      </c>
      <c r="K75" s="6">
        <v>486.09800000000001</v>
      </c>
      <c r="L75" s="6">
        <v>727.08</v>
      </c>
      <c r="M75" s="6">
        <v>0</v>
      </c>
      <c r="N75" s="6">
        <v>0</v>
      </c>
      <c r="O75" s="6">
        <v>195.6544219033</v>
      </c>
      <c r="P75" s="6">
        <v>195.6544219033</v>
      </c>
      <c r="Q75" s="6">
        <v>362.80399999999997</v>
      </c>
      <c r="R75" s="9">
        <f t="shared" si="1"/>
        <v>5269.8358358899004</v>
      </c>
    </row>
    <row r="76" spans="1:18">
      <c r="A76" s="6" t="str">
        <f>"67985921"</f>
        <v>67985921</v>
      </c>
      <c r="B76" s="6" t="s">
        <v>97</v>
      </c>
      <c r="C76" s="6">
        <v>276</v>
      </c>
      <c r="D76" s="6">
        <v>3647.8462306508</v>
      </c>
      <c r="E76" s="6">
        <v>3392.4225438044</v>
      </c>
      <c r="F76" s="6">
        <v>0</v>
      </c>
      <c r="G76" s="6">
        <v>0</v>
      </c>
      <c r="H76" s="6">
        <v>0</v>
      </c>
      <c r="I76" s="6">
        <v>3</v>
      </c>
      <c r="J76" s="6">
        <v>0</v>
      </c>
      <c r="K76" s="6">
        <v>393.16300000000001</v>
      </c>
      <c r="L76" s="6">
        <v>353.84699999999998</v>
      </c>
      <c r="M76" s="6">
        <v>0</v>
      </c>
      <c r="N76" s="6"/>
      <c r="O76" s="6">
        <v>0</v>
      </c>
      <c r="P76" s="6">
        <v>0</v>
      </c>
      <c r="Q76" s="6">
        <v>0</v>
      </c>
      <c r="R76" s="9">
        <f t="shared" si="1"/>
        <v>3746.2695438044002</v>
      </c>
    </row>
    <row r="77" spans="1:18">
      <c r="A77" s="6" t="str">
        <f>"67985840"</f>
        <v>67985840</v>
      </c>
      <c r="B77" s="6" t="s">
        <v>98</v>
      </c>
      <c r="C77" s="6">
        <v>682</v>
      </c>
      <c r="D77" s="6">
        <v>17536.763266098002</v>
      </c>
      <c r="E77" s="6">
        <v>16351.786590821001</v>
      </c>
      <c r="F77" s="6">
        <v>2</v>
      </c>
      <c r="G77" s="6">
        <v>2</v>
      </c>
      <c r="H77" s="6">
        <v>4000</v>
      </c>
      <c r="I77" s="6">
        <v>5.2414300000000003</v>
      </c>
      <c r="J77" s="6">
        <v>5</v>
      </c>
      <c r="K77" s="6">
        <v>2040.36</v>
      </c>
      <c r="L77" s="6">
        <v>2594.67</v>
      </c>
      <c r="M77" s="6">
        <v>0</v>
      </c>
      <c r="N77" s="6"/>
      <c r="O77" s="6">
        <v>0</v>
      </c>
      <c r="P77" s="6">
        <v>0</v>
      </c>
      <c r="Q77" s="6">
        <v>82.195999999999998</v>
      </c>
      <c r="R77" s="9">
        <f t="shared" si="1"/>
        <v>23028.652590820999</v>
      </c>
    </row>
    <row r="78" spans="1:18">
      <c r="A78" s="6" t="str">
        <f>"25870807"</f>
        <v>25870807</v>
      </c>
      <c r="B78" s="6" t="s">
        <v>99</v>
      </c>
      <c r="C78" s="6">
        <v>39</v>
      </c>
      <c r="D78" s="6">
        <v>183.93207164946</v>
      </c>
      <c r="E78" s="6">
        <v>193.66587365411999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200.5422035313</v>
      </c>
      <c r="P78" s="6">
        <v>200.5422035313</v>
      </c>
      <c r="Q78" s="6">
        <v>1205.23</v>
      </c>
      <c r="R78" s="9">
        <f t="shared" si="1"/>
        <v>1599.4380771854201</v>
      </c>
    </row>
    <row r="79" spans="1:18">
      <c r="A79" s="6" t="str">
        <f>"28676092"</f>
        <v>28676092</v>
      </c>
      <c r="B79" s="6" t="s">
        <v>100</v>
      </c>
      <c r="C79" s="6">
        <v>12</v>
      </c>
      <c r="D79" s="6">
        <v>280.97531763414003</v>
      </c>
      <c r="E79" s="6">
        <v>196.94034303708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60</v>
      </c>
      <c r="N79" s="6">
        <v>60</v>
      </c>
      <c r="O79" s="6">
        <v>289.52437032350002</v>
      </c>
      <c r="P79" s="6">
        <v>349.52437032350002</v>
      </c>
      <c r="Q79" s="6">
        <v>1783.76</v>
      </c>
      <c r="R79" s="9">
        <f t="shared" si="1"/>
        <v>2330.2247133605802</v>
      </c>
    </row>
    <row r="80" spans="1:18">
      <c r="A80" s="6" t="str">
        <f>"62156489"</f>
        <v>62156489</v>
      </c>
      <c r="B80" s="6" t="s">
        <v>101</v>
      </c>
      <c r="C80" s="6">
        <v>3578</v>
      </c>
      <c r="D80" s="6">
        <v>51982.206006884</v>
      </c>
      <c r="E80" s="6">
        <v>50399.456334312999</v>
      </c>
      <c r="F80" s="6">
        <v>0</v>
      </c>
      <c r="G80" s="6">
        <v>0</v>
      </c>
      <c r="H80" s="6">
        <v>0</v>
      </c>
      <c r="I80" s="6">
        <v>12.424200000000001</v>
      </c>
      <c r="J80" s="6">
        <v>1</v>
      </c>
      <c r="K80" s="6">
        <v>5243.98</v>
      </c>
      <c r="L80" s="6">
        <v>4845.3100000000004</v>
      </c>
      <c r="M80" s="6">
        <v>30</v>
      </c>
      <c r="N80" s="6">
        <v>30</v>
      </c>
      <c r="O80" s="6">
        <v>1205.1960632573</v>
      </c>
      <c r="P80" s="6">
        <v>1235.1960632573</v>
      </c>
      <c r="Q80" s="6">
        <v>5018.13</v>
      </c>
      <c r="R80" s="9">
        <f t="shared" si="1"/>
        <v>61498.092397570297</v>
      </c>
    </row>
    <row r="81" spans="1:18">
      <c r="A81" s="6" t="str">
        <f>"24839523"</f>
        <v>24839523</v>
      </c>
      <c r="B81" s="6" t="s">
        <v>102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/>
      <c r="O81" s="6">
        <v>0</v>
      </c>
      <c r="P81" s="6">
        <v>0</v>
      </c>
      <c r="Q81" s="6">
        <v>4.2169999999999996</v>
      </c>
      <c r="R81" s="9">
        <f t="shared" si="1"/>
        <v>4.2169999999999996</v>
      </c>
    </row>
    <row r="82" spans="1:18">
      <c r="A82" s="6" t="str">
        <f>"26482789"</f>
        <v>26482789</v>
      </c>
      <c r="B82" s="6" t="s">
        <v>103</v>
      </c>
      <c r="C82" s="6">
        <v>353</v>
      </c>
      <c r="D82" s="6">
        <v>4659.9542575953001</v>
      </c>
      <c r="E82" s="6">
        <v>4149.9278339788998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286.791</v>
      </c>
      <c r="L82" s="6">
        <v>258.11200000000002</v>
      </c>
      <c r="M82" s="6">
        <v>0</v>
      </c>
      <c r="N82" s="6"/>
      <c r="O82" s="6">
        <v>0</v>
      </c>
      <c r="P82" s="6">
        <v>0</v>
      </c>
      <c r="Q82" s="6">
        <v>0</v>
      </c>
      <c r="R82" s="9">
        <f t="shared" si="1"/>
        <v>4408.0398339788999</v>
      </c>
    </row>
    <row r="83" spans="1:18">
      <c r="A83" s="6" t="str">
        <f>"61388971"</f>
        <v>61388971</v>
      </c>
      <c r="B83" s="6" t="s">
        <v>104</v>
      </c>
      <c r="C83" s="6">
        <v>964</v>
      </c>
      <c r="D83" s="6">
        <v>30847.244668570998</v>
      </c>
      <c r="E83" s="6">
        <v>33373.601246817001</v>
      </c>
      <c r="F83" s="6">
        <v>0</v>
      </c>
      <c r="G83" s="6">
        <v>0</v>
      </c>
      <c r="H83" s="6">
        <v>0</v>
      </c>
      <c r="I83" s="6">
        <v>16.065300000000001</v>
      </c>
      <c r="J83" s="6">
        <v>5</v>
      </c>
      <c r="K83" s="6">
        <v>4060.79</v>
      </c>
      <c r="L83" s="6">
        <v>4288.68</v>
      </c>
      <c r="M83" s="6">
        <v>560</v>
      </c>
      <c r="N83" s="6">
        <v>123.50000095367</v>
      </c>
      <c r="O83" s="6">
        <v>476.89614971909998</v>
      </c>
      <c r="P83" s="6">
        <v>600.39615067279999</v>
      </c>
      <c r="Q83" s="6">
        <v>1608.18</v>
      </c>
      <c r="R83" s="9">
        <f t="shared" si="1"/>
        <v>39870.857397489803</v>
      </c>
    </row>
    <row r="84" spans="1:18">
      <c r="A84" s="6" t="str">
        <f>"60111623"</f>
        <v>60111623</v>
      </c>
      <c r="B84" s="6" t="s">
        <v>105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9.5710535643999997</v>
      </c>
      <c r="P84" s="6">
        <v>9.5710535643999997</v>
      </c>
      <c r="Q84" s="6">
        <v>61.01</v>
      </c>
      <c r="R84" s="9">
        <f t="shared" si="1"/>
        <v>70.581053564399994</v>
      </c>
    </row>
    <row r="85" spans="1:18">
      <c r="A85" s="6" t="str">
        <f>"60162694"</f>
        <v>60162694</v>
      </c>
      <c r="B85" s="6" t="s">
        <v>106</v>
      </c>
      <c r="C85" s="6">
        <v>1530</v>
      </c>
      <c r="D85" s="6">
        <v>15887.449137379001</v>
      </c>
      <c r="E85" s="6">
        <v>15615.786284853</v>
      </c>
      <c r="F85" s="6">
        <v>0</v>
      </c>
      <c r="G85" s="6">
        <v>0</v>
      </c>
      <c r="H85" s="6">
        <v>0</v>
      </c>
      <c r="I85" s="6">
        <v>7.2</v>
      </c>
      <c r="J85" s="6">
        <v>0</v>
      </c>
      <c r="K85" s="6">
        <v>2629.13</v>
      </c>
      <c r="L85" s="6">
        <v>2366.2199999999998</v>
      </c>
      <c r="M85" s="6">
        <v>0</v>
      </c>
      <c r="N85" s="6">
        <v>0</v>
      </c>
      <c r="O85" s="6">
        <v>322.900351984</v>
      </c>
      <c r="P85" s="6">
        <v>322.900351984</v>
      </c>
      <c r="Q85" s="6">
        <v>2700.4</v>
      </c>
      <c r="R85" s="9">
        <f t="shared" si="1"/>
        <v>21005.306636837002</v>
      </c>
    </row>
    <row r="86" spans="1:18">
      <c r="A86" s="6" t="str">
        <f>"00007064"</f>
        <v>00007064</v>
      </c>
      <c r="B86" s="6" t="s">
        <v>107</v>
      </c>
      <c r="C86" s="6">
        <v>41</v>
      </c>
      <c r="D86" s="6">
        <v>620.90402553949002</v>
      </c>
      <c r="E86" s="6">
        <v>609.19752227920003</v>
      </c>
      <c r="F86" s="6">
        <v>0</v>
      </c>
      <c r="G86" s="6">
        <v>0</v>
      </c>
      <c r="H86" s="6">
        <v>0</v>
      </c>
      <c r="I86" s="6">
        <v>3</v>
      </c>
      <c r="J86" s="6">
        <v>0</v>
      </c>
      <c r="K86" s="6">
        <v>560.03</v>
      </c>
      <c r="L86" s="6">
        <v>504.02699999999999</v>
      </c>
      <c r="M86" s="6">
        <v>0</v>
      </c>
      <c r="N86" s="6">
        <v>0</v>
      </c>
      <c r="O86" s="6">
        <v>850.90347362080001</v>
      </c>
      <c r="P86" s="6">
        <v>850.90347362080001</v>
      </c>
      <c r="Q86" s="6">
        <v>3787.21</v>
      </c>
      <c r="R86" s="9">
        <f t="shared" si="1"/>
        <v>5751.3379959000004</v>
      </c>
    </row>
    <row r="87" spans="1:18">
      <c r="A87" s="6" t="str">
        <f>"00094871"</f>
        <v>00094871</v>
      </c>
      <c r="B87" s="6" t="s">
        <v>108</v>
      </c>
      <c r="C87" s="6">
        <v>57</v>
      </c>
      <c r="D87" s="6">
        <v>887.31291462173999</v>
      </c>
      <c r="E87" s="6">
        <v>861.79113465537</v>
      </c>
      <c r="F87" s="6">
        <v>0</v>
      </c>
      <c r="G87" s="6">
        <v>0</v>
      </c>
      <c r="H87" s="6">
        <v>0</v>
      </c>
      <c r="I87" s="6">
        <v>0.66666700000000001</v>
      </c>
      <c r="J87" s="6">
        <v>0</v>
      </c>
      <c r="K87" s="6">
        <v>97.042500000000004</v>
      </c>
      <c r="L87" s="6">
        <v>87.338200000000001</v>
      </c>
      <c r="M87" s="6">
        <v>0</v>
      </c>
      <c r="N87" s="6">
        <v>0</v>
      </c>
      <c r="O87" s="6">
        <v>14.929207483000001</v>
      </c>
      <c r="P87" s="6">
        <v>14.929207483000001</v>
      </c>
      <c r="Q87" s="6">
        <v>14.569000000000001</v>
      </c>
      <c r="R87" s="9">
        <f t="shared" si="1"/>
        <v>978.62754213837002</v>
      </c>
    </row>
    <row r="88" spans="1:18">
      <c r="A88" s="6" t="str">
        <f>"00094943"</f>
        <v>00094943</v>
      </c>
      <c r="B88" s="6" t="s">
        <v>109</v>
      </c>
      <c r="C88" s="6">
        <v>49</v>
      </c>
      <c r="D88" s="6">
        <v>926.94999989032999</v>
      </c>
      <c r="E88" s="6">
        <v>896.12704416804002</v>
      </c>
      <c r="F88" s="6">
        <v>0</v>
      </c>
      <c r="G88" s="6">
        <v>0</v>
      </c>
      <c r="H88" s="6">
        <v>0</v>
      </c>
      <c r="I88" s="6">
        <v>1</v>
      </c>
      <c r="J88" s="6">
        <v>0</v>
      </c>
      <c r="K88" s="6">
        <v>167.684</v>
      </c>
      <c r="L88" s="6">
        <v>150.916</v>
      </c>
      <c r="M88" s="6">
        <v>0</v>
      </c>
      <c r="N88" s="6">
        <v>0</v>
      </c>
      <c r="O88" s="6">
        <v>132.11326073949999</v>
      </c>
      <c r="P88" s="6">
        <v>132.11326073949999</v>
      </c>
      <c r="Q88" s="6">
        <v>589.75699999999995</v>
      </c>
      <c r="R88" s="9">
        <f t="shared" si="1"/>
        <v>1768.9133049075399</v>
      </c>
    </row>
    <row r="89" spans="1:18">
      <c r="A89" s="6" t="str">
        <f>"00094862"</f>
        <v>00094862</v>
      </c>
      <c r="B89" s="6" t="s">
        <v>110</v>
      </c>
      <c r="C89" s="6">
        <v>465</v>
      </c>
      <c r="D89" s="6">
        <v>3862.6494548044998</v>
      </c>
      <c r="E89" s="6">
        <v>3601.6243920493998</v>
      </c>
      <c r="F89" s="6">
        <v>0</v>
      </c>
      <c r="G89" s="6">
        <v>0</v>
      </c>
      <c r="H89" s="6">
        <v>0</v>
      </c>
      <c r="I89" s="6">
        <v>1.5</v>
      </c>
      <c r="J89" s="6">
        <v>0</v>
      </c>
      <c r="K89" s="6">
        <v>355.38799999999998</v>
      </c>
      <c r="L89" s="6">
        <v>319.84899999999999</v>
      </c>
      <c r="M89" s="6">
        <v>0</v>
      </c>
      <c r="N89" s="6">
        <v>0</v>
      </c>
      <c r="O89" s="6">
        <v>10.675405898799999</v>
      </c>
      <c r="P89" s="6">
        <v>10.675405898799999</v>
      </c>
      <c r="Q89" s="6">
        <v>11.552</v>
      </c>
      <c r="R89" s="9">
        <f t="shared" si="1"/>
        <v>3943.7007979482</v>
      </c>
    </row>
    <row r="90" spans="1:18">
      <c r="A90" s="6" t="str">
        <f>"00088382"</f>
        <v>00088382</v>
      </c>
      <c r="B90" s="6" t="s">
        <v>111</v>
      </c>
      <c r="C90" s="6">
        <v>1</v>
      </c>
      <c r="D90" s="6">
        <v>24.712999343871999</v>
      </c>
      <c r="E90" s="6">
        <v>25.261999130248999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/>
      <c r="O90" s="6">
        <v>0</v>
      </c>
      <c r="P90" s="6">
        <v>0</v>
      </c>
      <c r="Q90" s="6">
        <v>0</v>
      </c>
      <c r="R90" s="9">
        <f t="shared" si="1"/>
        <v>25.261999130248999</v>
      </c>
    </row>
    <row r="91" spans="1:18">
      <c r="A91" s="6" t="str">
        <f>"00090735"</f>
        <v>00090735</v>
      </c>
      <c r="B91" s="6" t="s">
        <v>112</v>
      </c>
      <c r="C91" s="6">
        <v>3</v>
      </c>
      <c r="D91" s="6">
        <v>80.986999511719006</v>
      </c>
      <c r="E91" s="6">
        <v>91.229000091553004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15.644991403400001</v>
      </c>
      <c r="P91" s="6">
        <v>15.644991403400001</v>
      </c>
      <c r="Q91" s="6">
        <v>14.526</v>
      </c>
      <c r="R91" s="9">
        <f t="shared" si="1"/>
        <v>121.399991494953</v>
      </c>
    </row>
    <row r="92" spans="1:18">
      <c r="A92" s="6" t="str">
        <f>"70979821"</f>
        <v>70979821</v>
      </c>
      <c r="B92" s="6" t="s">
        <v>113</v>
      </c>
      <c r="C92" s="6">
        <v>159</v>
      </c>
      <c r="D92" s="6">
        <v>1411.1936715557999</v>
      </c>
      <c r="E92" s="6">
        <v>1264.2810090466</v>
      </c>
      <c r="F92" s="6">
        <v>0</v>
      </c>
      <c r="G92" s="6">
        <v>0</v>
      </c>
      <c r="H92" s="6">
        <v>0</v>
      </c>
      <c r="I92" s="6">
        <v>1</v>
      </c>
      <c r="J92" s="6">
        <v>1</v>
      </c>
      <c r="K92" s="6">
        <v>167.529</v>
      </c>
      <c r="L92" s="6">
        <v>250.58099999999999</v>
      </c>
      <c r="M92" s="6">
        <v>0</v>
      </c>
      <c r="N92" s="6">
        <v>0</v>
      </c>
      <c r="O92" s="6">
        <v>62.641318521000002</v>
      </c>
      <c r="P92" s="6">
        <v>62.641318521000002</v>
      </c>
      <c r="Q92" s="6">
        <v>243.773</v>
      </c>
      <c r="R92" s="9">
        <f t="shared" si="1"/>
        <v>1821.2763275675998</v>
      </c>
    </row>
    <row r="93" spans="1:18">
      <c r="A93" s="6" t="str">
        <f>"00057266"</f>
        <v>00057266</v>
      </c>
      <c r="B93" s="6" t="s">
        <v>114</v>
      </c>
      <c r="C93" s="6">
        <v>3</v>
      </c>
      <c r="D93" s="6">
        <v>61.730833333333003</v>
      </c>
      <c r="E93" s="6">
        <v>64.176174499005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33.948608796800002</v>
      </c>
      <c r="P93" s="6">
        <v>33.948608796800002</v>
      </c>
      <c r="Q93" s="6">
        <v>29.327000000000002</v>
      </c>
      <c r="R93" s="9">
        <f t="shared" si="1"/>
        <v>127.451783295805</v>
      </c>
    </row>
    <row r="94" spans="1:18">
      <c r="A94" s="6" t="str">
        <f>"00023281"</f>
        <v>00023281</v>
      </c>
      <c r="B94" s="6" t="s">
        <v>115</v>
      </c>
      <c r="C94" s="6">
        <v>180</v>
      </c>
      <c r="D94" s="6">
        <v>2318.4281074954001</v>
      </c>
      <c r="E94" s="6">
        <v>2169.8834231666001</v>
      </c>
      <c r="F94" s="6">
        <v>0</v>
      </c>
      <c r="G94" s="6">
        <v>0</v>
      </c>
      <c r="H94" s="6">
        <v>0</v>
      </c>
      <c r="I94" s="6">
        <v>1</v>
      </c>
      <c r="J94" s="6">
        <v>0</v>
      </c>
      <c r="K94" s="6">
        <v>227.108</v>
      </c>
      <c r="L94" s="6">
        <v>204.39699999999999</v>
      </c>
      <c r="M94" s="6">
        <v>0</v>
      </c>
      <c r="N94" s="6">
        <v>0</v>
      </c>
      <c r="O94" s="6">
        <v>237.0267325033</v>
      </c>
      <c r="P94" s="6">
        <v>237.0267325033</v>
      </c>
      <c r="Q94" s="6">
        <v>135.126</v>
      </c>
      <c r="R94" s="9">
        <f t="shared" si="1"/>
        <v>2746.4331556699003</v>
      </c>
    </row>
    <row r="95" spans="1:18">
      <c r="A95" s="6" t="str">
        <f>"14450551"</f>
        <v>14450551</v>
      </c>
      <c r="B95" s="6" t="s">
        <v>116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/>
      <c r="O95" s="6">
        <v>0</v>
      </c>
      <c r="P95" s="6">
        <v>0</v>
      </c>
      <c r="Q95" s="6">
        <v>0</v>
      </c>
      <c r="R95" s="9">
        <f t="shared" si="1"/>
        <v>0</v>
      </c>
    </row>
    <row r="96" spans="1:18">
      <c r="A96" s="6" t="str">
        <f>"00023221"</f>
        <v>00023221</v>
      </c>
      <c r="B96" s="6" t="s">
        <v>117</v>
      </c>
      <c r="C96" s="6">
        <v>39</v>
      </c>
      <c r="D96" s="6">
        <v>326.20287879163999</v>
      </c>
      <c r="E96" s="6">
        <v>292.01408556275999</v>
      </c>
      <c r="F96" s="6">
        <v>0</v>
      </c>
      <c r="G96" s="6">
        <v>0</v>
      </c>
      <c r="H96" s="6">
        <v>0</v>
      </c>
      <c r="I96" s="6">
        <v>1</v>
      </c>
      <c r="J96" s="6">
        <v>0</v>
      </c>
      <c r="K96" s="6">
        <v>141.62700000000001</v>
      </c>
      <c r="L96" s="6">
        <v>127.464</v>
      </c>
      <c r="M96" s="6">
        <v>0</v>
      </c>
      <c r="N96" s="6">
        <v>0</v>
      </c>
      <c r="O96" s="6">
        <v>411.37124454730002</v>
      </c>
      <c r="P96" s="6">
        <v>411.37124454730002</v>
      </c>
      <c r="Q96" s="6">
        <v>1302.8</v>
      </c>
      <c r="R96" s="9">
        <f t="shared" si="1"/>
        <v>2133.64933011006</v>
      </c>
    </row>
    <row r="97" spans="1:18">
      <c r="A97" s="6" t="str">
        <f>"00023825"</f>
        <v>00023825</v>
      </c>
      <c r="B97" s="6" t="s">
        <v>118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/>
      <c r="O97" s="6">
        <v>0</v>
      </c>
      <c r="P97" s="6">
        <v>0</v>
      </c>
      <c r="Q97" s="6">
        <v>36.017000000000003</v>
      </c>
      <c r="R97" s="9">
        <f t="shared" si="1"/>
        <v>36.017000000000003</v>
      </c>
    </row>
    <row r="98" spans="1:18">
      <c r="A98" s="6" t="str">
        <f>"00023272"</f>
        <v>00023272</v>
      </c>
      <c r="B98" s="6" t="s">
        <v>119</v>
      </c>
      <c r="C98" s="6">
        <v>825</v>
      </c>
      <c r="D98" s="6">
        <v>10708.856417722</v>
      </c>
      <c r="E98" s="6">
        <v>10158.055396599</v>
      </c>
      <c r="F98" s="6">
        <v>0</v>
      </c>
      <c r="G98" s="6">
        <v>0</v>
      </c>
      <c r="H98" s="6">
        <v>0</v>
      </c>
      <c r="I98" s="6">
        <v>2.9166699999999999</v>
      </c>
      <c r="J98" s="6">
        <v>0</v>
      </c>
      <c r="K98" s="6">
        <v>1103.9000000000001</v>
      </c>
      <c r="L98" s="6">
        <v>993.51</v>
      </c>
      <c r="M98" s="6">
        <v>0</v>
      </c>
      <c r="N98" s="6">
        <v>0</v>
      </c>
      <c r="O98" s="6">
        <v>288.50182186569998</v>
      </c>
      <c r="P98" s="6">
        <v>288.50182186569998</v>
      </c>
      <c r="Q98" s="6">
        <v>655.95299999999997</v>
      </c>
      <c r="R98" s="9">
        <f t="shared" si="1"/>
        <v>12096.020218464701</v>
      </c>
    </row>
    <row r="99" spans="1:18">
      <c r="A99" s="6" t="str">
        <f>"75032333"</f>
        <v>75032333</v>
      </c>
      <c r="B99" s="6" t="s">
        <v>120</v>
      </c>
      <c r="C99" s="6">
        <v>540</v>
      </c>
      <c r="D99" s="6">
        <v>5215.2189008777004</v>
      </c>
      <c r="E99" s="6">
        <v>4762.3179193968999</v>
      </c>
      <c r="F99" s="6">
        <v>0</v>
      </c>
      <c r="G99" s="6">
        <v>0</v>
      </c>
      <c r="H99" s="6">
        <v>0</v>
      </c>
      <c r="I99" s="6">
        <v>1.5</v>
      </c>
      <c r="J99" s="6">
        <v>0</v>
      </c>
      <c r="K99" s="6">
        <v>583.64800000000002</v>
      </c>
      <c r="L99" s="6">
        <v>525.28300000000002</v>
      </c>
      <c r="M99" s="6">
        <v>0</v>
      </c>
      <c r="N99" s="6">
        <v>0</v>
      </c>
      <c r="O99" s="6">
        <v>723.35077900279998</v>
      </c>
      <c r="P99" s="6">
        <v>723.35077900279998</v>
      </c>
      <c r="Q99" s="6">
        <v>1845.51</v>
      </c>
      <c r="R99" s="9">
        <f t="shared" si="1"/>
        <v>7856.4616983997003</v>
      </c>
    </row>
    <row r="100" spans="1:18">
      <c r="A100" s="6" t="str">
        <f>"61387169"</f>
        <v>61387169</v>
      </c>
      <c r="B100" s="6" t="s">
        <v>121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/>
      <c r="O100" s="6">
        <v>0</v>
      </c>
      <c r="P100" s="6">
        <v>0</v>
      </c>
      <c r="Q100" s="6">
        <v>0</v>
      </c>
      <c r="R100" s="9">
        <f t="shared" si="1"/>
        <v>0</v>
      </c>
    </row>
    <row r="101" spans="1:18">
      <c r="A101" s="6" t="str">
        <f>"61387142"</f>
        <v>61387142</v>
      </c>
      <c r="B101" s="6" t="s">
        <v>122</v>
      </c>
      <c r="C101" s="6">
        <v>23</v>
      </c>
      <c r="D101" s="6">
        <v>80.727000117301998</v>
      </c>
      <c r="E101" s="6">
        <v>77.840001225470999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/>
      <c r="O101" s="6">
        <v>0</v>
      </c>
      <c r="P101" s="6">
        <v>0</v>
      </c>
      <c r="Q101" s="6">
        <v>0</v>
      </c>
      <c r="R101" s="9">
        <f t="shared" si="1"/>
        <v>77.840001225470999</v>
      </c>
    </row>
    <row r="102" spans="1:18">
      <c r="A102" s="6" t="str">
        <f>"00023299"</f>
        <v>00023299</v>
      </c>
      <c r="B102" s="6" t="s">
        <v>123</v>
      </c>
      <c r="C102" s="6">
        <v>178</v>
      </c>
      <c r="D102" s="6">
        <v>1078.0343086933999</v>
      </c>
      <c r="E102" s="6">
        <v>964.11017932130005</v>
      </c>
      <c r="F102" s="6">
        <v>0</v>
      </c>
      <c r="G102" s="6">
        <v>0</v>
      </c>
      <c r="H102" s="6">
        <v>0</v>
      </c>
      <c r="I102" s="6">
        <v>1</v>
      </c>
      <c r="J102" s="6">
        <v>0</v>
      </c>
      <c r="K102" s="6">
        <v>93.739500000000007</v>
      </c>
      <c r="L102" s="6">
        <v>84.365499999999997</v>
      </c>
      <c r="M102" s="6">
        <v>0</v>
      </c>
      <c r="N102" s="6">
        <v>0</v>
      </c>
      <c r="O102" s="6">
        <v>181.8909196621</v>
      </c>
      <c r="P102" s="6">
        <v>181.8909196621</v>
      </c>
      <c r="Q102" s="6">
        <v>237.608</v>
      </c>
      <c r="R102" s="9">
        <f t="shared" si="1"/>
        <v>1467.9745989834</v>
      </c>
    </row>
    <row r="103" spans="1:18">
      <c r="A103" s="6" t="str">
        <f>"00023752"</f>
        <v>00023752</v>
      </c>
      <c r="B103" s="6" t="s">
        <v>124</v>
      </c>
      <c r="C103" s="6">
        <v>295</v>
      </c>
      <c r="D103" s="6">
        <v>3058.3796587024999</v>
      </c>
      <c r="E103" s="6">
        <v>2797.4333884980001</v>
      </c>
      <c r="F103" s="6">
        <v>0</v>
      </c>
      <c r="G103" s="6">
        <v>0</v>
      </c>
      <c r="H103" s="6">
        <v>0</v>
      </c>
      <c r="I103" s="6">
        <v>1.36</v>
      </c>
      <c r="J103" s="6">
        <v>1</v>
      </c>
      <c r="K103" s="6">
        <v>449.75299999999999</v>
      </c>
      <c r="L103" s="6">
        <v>495.404</v>
      </c>
      <c r="M103" s="6">
        <v>0</v>
      </c>
      <c r="N103" s="6">
        <v>0</v>
      </c>
      <c r="O103" s="6">
        <v>507.3476427905</v>
      </c>
      <c r="P103" s="6">
        <v>507.3476427905</v>
      </c>
      <c r="Q103" s="6">
        <v>1176.76</v>
      </c>
      <c r="R103" s="9">
        <f t="shared" si="1"/>
        <v>4976.9450312885001</v>
      </c>
    </row>
    <row r="104" spans="1:18">
      <c r="A104" s="6" t="str">
        <f>"00094927"</f>
        <v>00094927</v>
      </c>
      <c r="B104" s="6" t="s">
        <v>125</v>
      </c>
      <c r="C104" s="6">
        <v>66</v>
      </c>
      <c r="D104" s="6">
        <v>1152.6993061986</v>
      </c>
      <c r="E104" s="6">
        <v>1043.281422773</v>
      </c>
      <c r="F104" s="6">
        <v>0</v>
      </c>
      <c r="G104" s="6">
        <v>0</v>
      </c>
      <c r="H104" s="6">
        <v>0</v>
      </c>
      <c r="I104" s="6">
        <v>1</v>
      </c>
      <c r="J104" s="6">
        <v>0</v>
      </c>
      <c r="K104" s="6">
        <v>82.724400000000003</v>
      </c>
      <c r="L104" s="6">
        <v>74.451999999999998</v>
      </c>
      <c r="M104" s="6">
        <v>0</v>
      </c>
      <c r="N104" s="6">
        <v>0</v>
      </c>
      <c r="O104" s="6">
        <v>190.45987573799999</v>
      </c>
      <c r="P104" s="6">
        <v>190.45987573799999</v>
      </c>
      <c r="Q104" s="6">
        <v>156.37200000000001</v>
      </c>
      <c r="R104" s="9">
        <f t="shared" si="1"/>
        <v>1464.565298511</v>
      </c>
    </row>
    <row r="105" spans="1:18">
      <c r="A105" s="6" t="str">
        <f>"75075741"</f>
        <v>75075741</v>
      </c>
      <c r="B105" s="6" t="s">
        <v>126</v>
      </c>
      <c r="C105" s="6">
        <v>99</v>
      </c>
      <c r="D105" s="6">
        <v>1004.3831600505</v>
      </c>
      <c r="E105" s="6">
        <v>946.04755668662995</v>
      </c>
      <c r="F105" s="6">
        <v>0</v>
      </c>
      <c r="G105" s="6">
        <v>0</v>
      </c>
      <c r="H105" s="6">
        <v>0</v>
      </c>
      <c r="I105" s="6">
        <v>1</v>
      </c>
      <c r="J105" s="6">
        <v>0</v>
      </c>
      <c r="K105" s="6">
        <v>94.911299999999997</v>
      </c>
      <c r="L105" s="6">
        <v>85.420199999999994</v>
      </c>
      <c r="M105" s="6">
        <v>0</v>
      </c>
      <c r="N105" s="6">
        <v>0</v>
      </c>
      <c r="O105" s="6">
        <v>74.032508340099994</v>
      </c>
      <c r="P105" s="6">
        <v>74.032508340099994</v>
      </c>
      <c r="Q105" s="6">
        <v>76.364000000000004</v>
      </c>
      <c r="R105" s="9">
        <f t="shared" si="1"/>
        <v>1181.86426502673</v>
      </c>
    </row>
    <row r="106" spans="1:18">
      <c r="A106" s="6" t="str">
        <f>"67985998"</f>
        <v>67985998</v>
      </c>
      <c r="B106" s="6" t="s">
        <v>127</v>
      </c>
      <c r="C106" s="6">
        <v>143</v>
      </c>
      <c r="D106" s="6">
        <v>2865.0610843569002</v>
      </c>
      <c r="E106" s="6">
        <v>2597.4324919064002</v>
      </c>
      <c r="F106" s="6">
        <v>0</v>
      </c>
      <c r="G106" s="6">
        <v>0</v>
      </c>
      <c r="H106" s="6">
        <v>0</v>
      </c>
      <c r="I106" s="6">
        <v>3.234</v>
      </c>
      <c r="J106" s="6">
        <v>3</v>
      </c>
      <c r="K106" s="6">
        <v>630.91399999999999</v>
      </c>
      <c r="L106" s="6">
        <v>839.08699999999999</v>
      </c>
      <c r="M106" s="6">
        <v>0</v>
      </c>
      <c r="N106" s="6">
        <v>0</v>
      </c>
      <c r="O106" s="6">
        <v>122.4604032985</v>
      </c>
      <c r="P106" s="6">
        <v>122.4604032985</v>
      </c>
      <c r="Q106" s="6">
        <v>180.33099999999999</v>
      </c>
      <c r="R106" s="9">
        <f t="shared" si="1"/>
        <v>3739.3108952049001</v>
      </c>
    </row>
    <row r="107" spans="1:18">
      <c r="A107" s="6" t="str">
        <f>"00064211"</f>
        <v>00064211</v>
      </c>
      <c r="B107" s="6" t="s">
        <v>128</v>
      </c>
      <c r="C107" s="6">
        <v>136</v>
      </c>
      <c r="D107" s="6">
        <v>1322.8135239585999</v>
      </c>
      <c r="E107" s="6">
        <v>1220.2069809720001</v>
      </c>
      <c r="F107" s="6">
        <v>0</v>
      </c>
      <c r="G107" s="6">
        <v>0</v>
      </c>
      <c r="H107" s="6">
        <v>0</v>
      </c>
      <c r="I107" s="6">
        <v>0.66666700000000001</v>
      </c>
      <c r="J107" s="6">
        <v>0</v>
      </c>
      <c r="K107" s="6">
        <v>144.99299999999999</v>
      </c>
      <c r="L107" s="6">
        <v>130.494</v>
      </c>
      <c r="M107" s="6">
        <v>0</v>
      </c>
      <c r="N107" s="6">
        <v>0</v>
      </c>
      <c r="O107" s="6">
        <v>135.91714100230001</v>
      </c>
      <c r="P107" s="6">
        <v>135.91714100230001</v>
      </c>
      <c r="Q107" s="6">
        <v>254.69800000000001</v>
      </c>
      <c r="R107" s="9">
        <f t="shared" si="1"/>
        <v>1741.3161219743001</v>
      </c>
    </row>
    <row r="108" spans="1:18">
      <c r="A108" s="6" t="str">
        <f>"00023884"</f>
        <v>00023884</v>
      </c>
      <c r="B108" s="6" t="s">
        <v>129</v>
      </c>
      <c r="C108" s="6">
        <v>199</v>
      </c>
      <c r="D108" s="6">
        <v>3410.6095345911999</v>
      </c>
      <c r="E108" s="6">
        <v>3108.0994871410999</v>
      </c>
      <c r="F108" s="6">
        <v>0</v>
      </c>
      <c r="G108" s="6">
        <v>0</v>
      </c>
      <c r="H108" s="6">
        <v>0</v>
      </c>
      <c r="I108" s="6">
        <v>1.7368399999999999</v>
      </c>
      <c r="J108" s="6">
        <v>0</v>
      </c>
      <c r="K108" s="6">
        <v>457.50900000000001</v>
      </c>
      <c r="L108" s="6">
        <v>411.75799999999998</v>
      </c>
      <c r="M108" s="6">
        <v>0</v>
      </c>
      <c r="N108" s="6">
        <v>0</v>
      </c>
      <c r="O108" s="6">
        <v>71.087568781900004</v>
      </c>
      <c r="P108" s="6">
        <v>71.087568781900004</v>
      </c>
      <c r="Q108" s="6">
        <v>251.916</v>
      </c>
      <c r="R108" s="9">
        <f t="shared" si="1"/>
        <v>3842.8610559229996</v>
      </c>
    </row>
    <row r="109" spans="1:18">
      <c r="A109" s="6" t="str">
        <f>"27081869"</f>
        <v>27081869</v>
      </c>
      <c r="B109" s="6" t="s">
        <v>130</v>
      </c>
      <c r="C109" s="6">
        <v>11</v>
      </c>
      <c r="D109" s="6">
        <v>18.788999974728</v>
      </c>
      <c r="E109" s="6">
        <v>20.291999876498998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/>
      <c r="O109" s="6">
        <v>0</v>
      </c>
      <c r="P109" s="6">
        <v>0</v>
      </c>
      <c r="Q109" s="6">
        <v>0</v>
      </c>
      <c r="R109" s="9">
        <f t="shared" si="1"/>
        <v>20.291999876498998</v>
      </c>
    </row>
    <row r="110" spans="1:18">
      <c r="A110" s="6" t="str">
        <f>"68378009"</f>
        <v>68378009</v>
      </c>
      <c r="B110" s="6" t="s">
        <v>131</v>
      </c>
      <c r="C110" s="6">
        <v>99</v>
      </c>
      <c r="D110" s="6">
        <v>1563.4787848526</v>
      </c>
      <c r="E110" s="6">
        <v>1549.0470160614</v>
      </c>
      <c r="F110" s="6">
        <v>0</v>
      </c>
      <c r="G110" s="6">
        <v>0</v>
      </c>
      <c r="H110" s="6">
        <v>0</v>
      </c>
      <c r="I110" s="6">
        <v>2</v>
      </c>
      <c r="J110" s="6">
        <v>0</v>
      </c>
      <c r="K110" s="6">
        <v>204.94399999999999</v>
      </c>
      <c r="L110" s="6">
        <v>184.45</v>
      </c>
      <c r="M110" s="6">
        <v>0</v>
      </c>
      <c r="N110" s="6">
        <v>0</v>
      </c>
      <c r="O110" s="6">
        <v>3.0676453732</v>
      </c>
      <c r="P110" s="6">
        <v>3.0676453732</v>
      </c>
      <c r="Q110" s="6">
        <v>0.80100000000000005</v>
      </c>
      <c r="R110" s="9">
        <f t="shared" si="1"/>
        <v>1737.3656614346</v>
      </c>
    </row>
    <row r="111" spans="1:18">
      <c r="A111" s="6" t="str">
        <f>"26791251"</f>
        <v>26791251</v>
      </c>
      <c r="B111" s="6" t="s">
        <v>132</v>
      </c>
      <c r="C111" s="6">
        <v>47</v>
      </c>
      <c r="D111" s="6">
        <v>152.19529931835999</v>
      </c>
      <c r="E111" s="6">
        <v>150.73593362107999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117.036</v>
      </c>
      <c r="L111" s="6">
        <v>105.33199999999999</v>
      </c>
      <c r="M111" s="6">
        <v>50</v>
      </c>
      <c r="N111" s="6">
        <v>50</v>
      </c>
      <c r="O111" s="6">
        <v>107.060823525</v>
      </c>
      <c r="P111" s="6">
        <v>157.06082352499999</v>
      </c>
      <c r="Q111" s="6">
        <v>653.05899999999997</v>
      </c>
      <c r="R111" s="9">
        <f t="shared" si="1"/>
        <v>1066.18775714608</v>
      </c>
    </row>
    <row r="112" spans="1:18">
      <c r="A112" s="6" t="str">
        <f>"61988987"</f>
        <v>61988987</v>
      </c>
      <c r="B112" s="6" t="s">
        <v>133</v>
      </c>
      <c r="C112" s="6">
        <v>2650</v>
      </c>
      <c r="D112" s="6">
        <v>37337.165356345999</v>
      </c>
      <c r="E112" s="6">
        <v>34013.155871408999</v>
      </c>
      <c r="F112" s="6">
        <v>0</v>
      </c>
      <c r="G112" s="6">
        <v>0</v>
      </c>
      <c r="H112" s="6">
        <v>0</v>
      </c>
      <c r="I112" s="6">
        <v>9.4666700000000006</v>
      </c>
      <c r="J112" s="6">
        <v>1</v>
      </c>
      <c r="K112" s="6">
        <v>3308.16</v>
      </c>
      <c r="L112" s="6">
        <v>3081.44</v>
      </c>
      <c r="M112" s="6">
        <v>0</v>
      </c>
      <c r="N112" s="6">
        <v>0</v>
      </c>
      <c r="O112" s="6">
        <v>152.15521051120001</v>
      </c>
      <c r="P112" s="6">
        <v>152.15521051120001</v>
      </c>
      <c r="Q112" s="6">
        <v>597.78200000000004</v>
      </c>
      <c r="R112" s="9">
        <f t="shared" si="1"/>
        <v>37844.533081920199</v>
      </c>
    </row>
    <row r="113" spans="1:18">
      <c r="A113" s="6" t="str">
        <f>"00023311"</f>
        <v>00023311</v>
      </c>
      <c r="B113" s="6" t="s">
        <v>134</v>
      </c>
      <c r="C113" s="6">
        <v>44</v>
      </c>
      <c r="D113" s="6">
        <v>387.88466660182002</v>
      </c>
      <c r="E113" s="6">
        <v>372.65857049943003</v>
      </c>
      <c r="F113" s="6">
        <v>0</v>
      </c>
      <c r="G113" s="6">
        <v>0</v>
      </c>
      <c r="H113" s="6">
        <v>0</v>
      </c>
      <c r="I113" s="6">
        <v>0.66666700000000001</v>
      </c>
      <c r="J113" s="6">
        <v>0</v>
      </c>
      <c r="K113" s="6">
        <v>22.9725</v>
      </c>
      <c r="L113" s="6">
        <v>20.6752</v>
      </c>
      <c r="M113" s="6">
        <v>0</v>
      </c>
      <c r="N113" s="6"/>
      <c r="O113" s="6">
        <v>0</v>
      </c>
      <c r="P113" s="6">
        <v>0</v>
      </c>
      <c r="Q113" s="6">
        <v>0</v>
      </c>
      <c r="R113" s="9">
        <f t="shared" si="1"/>
        <v>393.33377049943005</v>
      </c>
    </row>
    <row r="114" spans="1:18">
      <c r="A114" s="6" t="str">
        <f>"48135445"</f>
        <v>48135445</v>
      </c>
      <c r="B114" s="6" t="s">
        <v>135</v>
      </c>
      <c r="C114" s="6">
        <v>161</v>
      </c>
      <c r="D114" s="6">
        <v>1549.600445024</v>
      </c>
      <c r="E114" s="6">
        <v>1461.6246928532</v>
      </c>
      <c r="F114" s="6">
        <v>0</v>
      </c>
      <c r="G114" s="6">
        <v>0</v>
      </c>
      <c r="H114" s="6">
        <v>0</v>
      </c>
      <c r="I114" s="6">
        <v>0.66666700000000001</v>
      </c>
      <c r="J114" s="6">
        <v>0</v>
      </c>
      <c r="K114" s="6">
        <v>192.917</v>
      </c>
      <c r="L114" s="6">
        <v>173.625</v>
      </c>
      <c r="M114" s="6">
        <v>0</v>
      </c>
      <c r="N114" s="6"/>
      <c r="O114" s="6">
        <v>0</v>
      </c>
      <c r="P114" s="6">
        <v>0</v>
      </c>
      <c r="Q114" s="6">
        <v>0</v>
      </c>
      <c r="R114" s="9">
        <f t="shared" si="1"/>
        <v>1635.2496928532</v>
      </c>
    </row>
    <row r="115" spans="1:18">
      <c r="A115" s="6" t="str">
        <f>"68081740"</f>
        <v>68081740</v>
      </c>
      <c r="B115" s="6" t="s">
        <v>136</v>
      </c>
      <c r="C115" s="6">
        <v>191</v>
      </c>
      <c r="D115" s="6">
        <v>2133.5155010711001</v>
      </c>
      <c r="E115" s="6">
        <v>1746.0066122533001</v>
      </c>
      <c r="F115" s="6">
        <v>0</v>
      </c>
      <c r="G115" s="6">
        <v>0</v>
      </c>
      <c r="H115" s="6">
        <v>0</v>
      </c>
      <c r="I115" s="6">
        <v>2</v>
      </c>
      <c r="J115" s="6">
        <v>0</v>
      </c>
      <c r="K115" s="6">
        <v>219.584</v>
      </c>
      <c r="L115" s="6">
        <v>197.626</v>
      </c>
      <c r="M115" s="6">
        <v>0</v>
      </c>
      <c r="N115" s="6"/>
      <c r="O115" s="6">
        <v>0</v>
      </c>
      <c r="P115" s="6">
        <v>0</v>
      </c>
      <c r="Q115" s="6">
        <v>15.635300000000001</v>
      </c>
      <c r="R115" s="9">
        <f t="shared" si="1"/>
        <v>1959.2679122533</v>
      </c>
    </row>
    <row r="116" spans="1:18">
      <c r="A116" s="6" t="str">
        <f>"00023728"</f>
        <v>00023728</v>
      </c>
      <c r="B116" s="6" t="s">
        <v>137</v>
      </c>
      <c r="C116" s="6">
        <v>226</v>
      </c>
      <c r="D116" s="6">
        <v>3055.1340758534002</v>
      </c>
      <c r="E116" s="6">
        <v>2809.8870514248001</v>
      </c>
      <c r="F116" s="6">
        <v>0</v>
      </c>
      <c r="G116" s="6">
        <v>0</v>
      </c>
      <c r="H116" s="6">
        <v>0</v>
      </c>
      <c r="I116" s="6">
        <v>0.461538</v>
      </c>
      <c r="J116" s="6">
        <v>0</v>
      </c>
      <c r="K116" s="6">
        <v>360.43400000000003</v>
      </c>
      <c r="L116" s="6">
        <v>324.39100000000002</v>
      </c>
      <c r="M116" s="6">
        <v>0</v>
      </c>
      <c r="N116" s="6">
        <v>0</v>
      </c>
      <c r="O116" s="6">
        <v>297.8683657386</v>
      </c>
      <c r="P116" s="6">
        <v>297.8683657386</v>
      </c>
      <c r="Q116" s="6">
        <v>659.83</v>
      </c>
      <c r="R116" s="9">
        <f t="shared" si="1"/>
        <v>4091.9764171634001</v>
      </c>
    </row>
    <row r="117" spans="1:18">
      <c r="A117" s="6" t="str">
        <f>"47813059"</f>
        <v>47813059</v>
      </c>
      <c r="B117" s="6" t="s">
        <v>138</v>
      </c>
      <c r="C117" s="6">
        <v>1595</v>
      </c>
      <c r="D117" s="6">
        <v>22387.813106442001</v>
      </c>
      <c r="E117" s="6">
        <v>20887.438942762001</v>
      </c>
      <c r="F117" s="6">
        <v>0</v>
      </c>
      <c r="G117" s="6">
        <v>0</v>
      </c>
      <c r="H117" s="6">
        <v>0</v>
      </c>
      <c r="I117" s="6">
        <v>4.4666699999999997</v>
      </c>
      <c r="J117" s="6">
        <v>0</v>
      </c>
      <c r="K117" s="6">
        <v>1758.23</v>
      </c>
      <c r="L117" s="6">
        <v>1582.41</v>
      </c>
      <c r="M117" s="6">
        <v>0</v>
      </c>
      <c r="N117" s="6">
        <v>0</v>
      </c>
      <c r="O117" s="6">
        <v>15.788148187399999</v>
      </c>
      <c r="P117" s="6">
        <v>15.788148187399999</v>
      </c>
      <c r="Q117" s="6">
        <v>14.6127</v>
      </c>
      <c r="R117" s="9">
        <f t="shared" si="1"/>
        <v>22500.249790949401</v>
      </c>
    </row>
    <row r="118" spans="1:18">
      <c r="A118" s="6" t="str">
        <f>"00100595"</f>
        <v>00100595</v>
      </c>
      <c r="B118" s="6" t="s">
        <v>139</v>
      </c>
      <c r="C118" s="6">
        <v>99</v>
      </c>
      <c r="D118" s="6">
        <v>1201.7567543048001</v>
      </c>
      <c r="E118" s="6">
        <v>1105.3781690221001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93.235968376399995</v>
      </c>
      <c r="P118" s="6">
        <v>93.235968376399995</v>
      </c>
      <c r="Q118" s="6">
        <v>161.04</v>
      </c>
      <c r="R118" s="9">
        <f t="shared" si="1"/>
        <v>1359.6541373985001</v>
      </c>
    </row>
    <row r="119" spans="1:18">
      <c r="A119" s="6" t="str">
        <f>"68378017"</f>
        <v>68378017</v>
      </c>
      <c r="B119" s="6" t="s">
        <v>140</v>
      </c>
      <c r="C119" s="6">
        <v>134</v>
      </c>
      <c r="D119" s="6">
        <v>1876.9427563636</v>
      </c>
      <c r="E119" s="6">
        <v>1834.9469511852001</v>
      </c>
      <c r="F119" s="6">
        <v>0</v>
      </c>
      <c r="G119" s="6">
        <v>0</v>
      </c>
      <c r="H119" s="6">
        <v>0</v>
      </c>
      <c r="I119" s="6">
        <v>2</v>
      </c>
      <c r="J119" s="6">
        <v>0</v>
      </c>
      <c r="K119" s="6">
        <v>330.69400000000002</v>
      </c>
      <c r="L119" s="6">
        <v>297.625</v>
      </c>
      <c r="M119" s="6">
        <v>0</v>
      </c>
      <c r="N119" s="6"/>
      <c r="O119" s="6">
        <v>0</v>
      </c>
      <c r="P119" s="6">
        <v>0</v>
      </c>
      <c r="Q119" s="6">
        <v>0</v>
      </c>
      <c r="R119" s="9">
        <f t="shared" si="1"/>
        <v>2132.5719511852003</v>
      </c>
    </row>
    <row r="120" spans="1:18">
      <c r="A120" s="6" t="str">
        <f>"28586336"</f>
        <v>28586336</v>
      </c>
      <c r="B120" s="6" t="s">
        <v>141</v>
      </c>
      <c r="C120" s="6">
        <v>1</v>
      </c>
      <c r="D120" s="6">
        <v>19.475566666667</v>
      </c>
      <c r="E120" s="6">
        <v>10.3458789941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86.691658246900005</v>
      </c>
      <c r="P120" s="6">
        <v>86.691658246900005</v>
      </c>
      <c r="Q120" s="6">
        <v>55.238</v>
      </c>
      <c r="R120" s="9">
        <f t="shared" si="1"/>
        <v>152.27553724099999</v>
      </c>
    </row>
    <row r="121" spans="1:18">
      <c r="A121" s="6" t="str">
        <f>"68378025"</f>
        <v>68378025</v>
      </c>
      <c r="B121" s="6" t="s">
        <v>142</v>
      </c>
      <c r="C121" s="6">
        <v>429</v>
      </c>
      <c r="D121" s="6">
        <v>6384.1116198591999</v>
      </c>
      <c r="E121" s="6">
        <v>5389.0243107652996</v>
      </c>
      <c r="F121" s="6">
        <v>0</v>
      </c>
      <c r="G121" s="6">
        <v>0</v>
      </c>
      <c r="H121" s="6">
        <v>0</v>
      </c>
      <c r="I121" s="6">
        <v>2.1666699999999999</v>
      </c>
      <c r="J121" s="6">
        <v>2</v>
      </c>
      <c r="K121" s="6">
        <v>863.08299999999997</v>
      </c>
      <c r="L121" s="6">
        <v>1132.75</v>
      </c>
      <c r="M121" s="6">
        <v>0</v>
      </c>
      <c r="N121" s="6">
        <v>0</v>
      </c>
      <c r="O121" s="6">
        <v>144.81331258469999</v>
      </c>
      <c r="P121" s="6">
        <v>144.81331258469999</v>
      </c>
      <c r="Q121" s="6">
        <v>358.30700000000002</v>
      </c>
      <c r="R121" s="9">
        <f t="shared" si="1"/>
        <v>7024.8946233499992</v>
      </c>
    </row>
    <row r="122" spans="1:18">
      <c r="A122" s="6" t="str">
        <f>"70565813"</f>
        <v>70565813</v>
      </c>
      <c r="B122" s="6" t="s">
        <v>143</v>
      </c>
      <c r="C122" s="6">
        <v>26</v>
      </c>
      <c r="D122" s="6">
        <v>306.17891808859002</v>
      </c>
      <c r="E122" s="6">
        <v>346.16422352779</v>
      </c>
      <c r="F122" s="6">
        <v>0</v>
      </c>
      <c r="G122" s="6">
        <v>0</v>
      </c>
      <c r="H122" s="6">
        <v>0</v>
      </c>
      <c r="I122" s="6">
        <v>0.5</v>
      </c>
      <c r="J122" s="6">
        <v>0</v>
      </c>
      <c r="K122" s="6">
        <v>218.69800000000001</v>
      </c>
      <c r="L122" s="6">
        <v>196.828</v>
      </c>
      <c r="M122" s="6">
        <v>50</v>
      </c>
      <c r="N122" s="6">
        <v>16.700000762938998</v>
      </c>
      <c r="O122" s="6">
        <v>718.4016444673</v>
      </c>
      <c r="P122" s="6">
        <v>735.10164523020001</v>
      </c>
      <c r="Q122" s="6">
        <v>1787.42</v>
      </c>
      <c r="R122" s="9">
        <f t="shared" si="1"/>
        <v>3065.5138687579902</v>
      </c>
    </row>
    <row r="123" spans="1:18">
      <c r="A123" s="6" t="str">
        <f>"86652052"</f>
        <v>86652052</v>
      </c>
      <c r="B123" s="6" t="s">
        <v>144</v>
      </c>
      <c r="C123" s="6">
        <v>107</v>
      </c>
      <c r="D123" s="6">
        <v>1421.6438139719</v>
      </c>
      <c r="E123" s="6">
        <v>1418.6704873220999</v>
      </c>
      <c r="F123" s="6">
        <v>0</v>
      </c>
      <c r="G123" s="6">
        <v>0</v>
      </c>
      <c r="H123" s="6">
        <v>0</v>
      </c>
      <c r="I123" s="6">
        <v>1</v>
      </c>
      <c r="J123" s="6">
        <v>0</v>
      </c>
      <c r="K123" s="6">
        <v>350.637</v>
      </c>
      <c r="L123" s="6">
        <v>315.57299999999998</v>
      </c>
      <c r="M123" s="6">
        <v>0</v>
      </c>
      <c r="N123" s="6">
        <v>0</v>
      </c>
      <c r="O123" s="6">
        <v>1087.6234415865999</v>
      </c>
      <c r="P123" s="6">
        <v>1087.6234415865999</v>
      </c>
      <c r="Q123" s="6">
        <v>2482.31</v>
      </c>
      <c r="R123" s="9">
        <f t="shared" si="1"/>
        <v>5304.1769289087006</v>
      </c>
    </row>
    <row r="124" spans="1:18">
      <c r="A124" s="6" t="str">
        <f>"75010330"</f>
        <v>75010330</v>
      </c>
      <c r="B124" s="6" t="s">
        <v>145</v>
      </c>
      <c r="C124" s="6">
        <v>397</v>
      </c>
      <c r="D124" s="6">
        <v>5007.6813348451997</v>
      </c>
      <c r="E124" s="6">
        <v>4877.9595042591</v>
      </c>
      <c r="F124" s="6">
        <v>0</v>
      </c>
      <c r="G124" s="6">
        <v>0</v>
      </c>
      <c r="H124" s="6">
        <v>0</v>
      </c>
      <c r="I124" s="6">
        <v>1.4666699999999999</v>
      </c>
      <c r="J124" s="6">
        <v>0</v>
      </c>
      <c r="K124" s="6">
        <v>738.88400000000001</v>
      </c>
      <c r="L124" s="6">
        <v>664.99599999999998</v>
      </c>
      <c r="M124" s="6">
        <v>0</v>
      </c>
      <c r="N124" s="6">
        <v>0</v>
      </c>
      <c r="O124" s="6">
        <v>536.65388158919995</v>
      </c>
      <c r="P124" s="6">
        <v>536.65388158919995</v>
      </c>
      <c r="Q124" s="6">
        <v>1050.1099999999999</v>
      </c>
      <c r="R124" s="9">
        <f t="shared" si="1"/>
        <v>7129.7193858482997</v>
      </c>
    </row>
    <row r="125" spans="1:18">
      <c r="A125" s="6" t="str">
        <f>"60457856"</f>
        <v>60457856</v>
      </c>
      <c r="B125" s="6" t="s">
        <v>146</v>
      </c>
      <c r="C125" s="6">
        <v>1</v>
      </c>
      <c r="D125" s="6">
        <v>4</v>
      </c>
      <c r="E125" s="6">
        <v>2.7009999752045002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/>
      <c r="O125" s="6">
        <v>0</v>
      </c>
      <c r="P125" s="6">
        <v>0</v>
      </c>
      <c r="Q125" s="6">
        <v>0</v>
      </c>
      <c r="R125" s="9">
        <f t="shared" si="1"/>
        <v>2.7009999752045002</v>
      </c>
    </row>
    <row r="126" spans="1:18">
      <c r="A126" s="6" t="str">
        <f>"25797000"</f>
        <v>25797000</v>
      </c>
      <c r="B126" s="6" t="s">
        <v>147</v>
      </c>
      <c r="C126" s="6">
        <v>68</v>
      </c>
      <c r="D126" s="6">
        <v>826.35024939393998</v>
      </c>
      <c r="E126" s="6">
        <v>847.29071734374998</v>
      </c>
      <c r="F126" s="6">
        <v>0</v>
      </c>
      <c r="G126" s="6">
        <v>0</v>
      </c>
      <c r="H126" s="6">
        <v>0</v>
      </c>
      <c r="I126" s="6">
        <v>1</v>
      </c>
      <c r="J126" s="6">
        <v>0</v>
      </c>
      <c r="K126" s="6">
        <v>229.74199999999999</v>
      </c>
      <c r="L126" s="6">
        <v>206.768</v>
      </c>
      <c r="M126" s="6">
        <v>0</v>
      </c>
      <c r="N126" s="6">
        <v>0</v>
      </c>
      <c r="O126" s="6">
        <v>399.83689794399999</v>
      </c>
      <c r="P126" s="6">
        <v>399.83689794399999</v>
      </c>
      <c r="Q126" s="6">
        <v>1592.55</v>
      </c>
      <c r="R126" s="9">
        <f t="shared" si="1"/>
        <v>3046.4456152877501</v>
      </c>
    </row>
    <row r="127" spans="1:18">
      <c r="A127" s="6" t="str">
        <f>"25794787"</f>
        <v>25794787</v>
      </c>
      <c r="B127" s="6" t="s">
        <v>148</v>
      </c>
      <c r="C127" s="6">
        <v>54</v>
      </c>
      <c r="D127" s="6">
        <v>729.73626320446999</v>
      </c>
      <c r="E127" s="6">
        <v>818.88659671728999</v>
      </c>
      <c r="F127" s="6">
        <v>0</v>
      </c>
      <c r="G127" s="6">
        <v>0</v>
      </c>
      <c r="H127" s="6">
        <v>0</v>
      </c>
      <c r="I127" s="6">
        <v>0.66666700000000001</v>
      </c>
      <c r="J127" s="6">
        <v>0</v>
      </c>
      <c r="K127" s="6">
        <v>211.05099999999999</v>
      </c>
      <c r="L127" s="6">
        <v>189.946</v>
      </c>
      <c r="M127" s="6">
        <v>0</v>
      </c>
      <c r="N127" s="6">
        <v>0</v>
      </c>
      <c r="O127" s="6">
        <v>40.145252450699999</v>
      </c>
      <c r="P127" s="6">
        <v>40.145252450699999</v>
      </c>
      <c r="Q127" s="6">
        <v>466.82299999999998</v>
      </c>
      <c r="R127" s="9">
        <f t="shared" si="1"/>
        <v>1515.8008491679898</v>
      </c>
    </row>
    <row r="128" spans="1:18">
      <c r="A128" s="6" t="str">
        <f>"29142890"</f>
        <v>29142890</v>
      </c>
      <c r="B128" s="6" t="s">
        <v>149</v>
      </c>
      <c r="C128" s="6">
        <v>60</v>
      </c>
      <c r="D128" s="6">
        <v>576.36681509976995</v>
      </c>
      <c r="E128" s="6">
        <v>360.05048055413999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1.4111168717</v>
      </c>
      <c r="P128" s="6">
        <v>1.4111168717</v>
      </c>
      <c r="Q128" s="6">
        <v>0</v>
      </c>
      <c r="R128" s="9">
        <f t="shared" si="1"/>
        <v>361.46159742584001</v>
      </c>
    </row>
    <row r="129" spans="1:18">
      <c r="A129" s="6" t="str">
        <f>"46747885"</f>
        <v>46747885</v>
      </c>
      <c r="B129" s="6" t="s">
        <v>150</v>
      </c>
      <c r="C129" s="6">
        <v>1847</v>
      </c>
      <c r="D129" s="6">
        <v>24936.844566193002</v>
      </c>
      <c r="E129" s="6">
        <v>22114.73023746</v>
      </c>
      <c r="F129" s="6">
        <v>0</v>
      </c>
      <c r="G129" s="6">
        <v>0</v>
      </c>
      <c r="H129" s="6">
        <v>0</v>
      </c>
      <c r="I129" s="6">
        <v>5.5716200000000002</v>
      </c>
      <c r="J129" s="6">
        <v>0</v>
      </c>
      <c r="K129" s="6">
        <v>3596.69</v>
      </c>
      <c r="L129" s="6">
        <v>3237.02</v>
      </c>
      <c r="M129" s="6">
        <v>800</v>
      </c>
      <c r="N129" s="6">
        <v>516.06999969482001</v>
      </c>
      <c r="O129" s="6">
        <v>3160.7586357706</v>
      </c>
      <c r="P129" s="6">
        <v>3676.8286354654001</v>
      </c>
      <c r="Q129" s="6">
        <v>13938.2</v>
      </c>
      <c r="R129" s="9">
        <f t="shared" si="1"/>
        <v>42966.778872925403</v>
      </c>
    </row>
    <row r="130" spans="1:18">
      <c r="A130" s="6" t="str">
        <f>"00101435"</f>
        <v>00101435</v>
      </c>
      <c r="B130" s="6" t="s">
        <v>151</v>
      </c>
      <c r="C130" s="6">
        <v>33</v>
      </c>
      <c r="D130" s="6">
        <v>178.42667472208001</v>
      </c>
      <c r="E130" s="6">
        <v>165.08337725793001</v>
      </c>
      <c r="F130" s="6">
        <v>0</v>
      </c>
      <c r="G130" s="6">
        <v>0</v>
      </c>
      <c r="H130" s="6">
        <v>0</v>
      </c>
      <c r="I130" s="6">
        <v>1</v>
      </c>
      <c r="J130" s="6">
        <v>0</v>
      </c>
      <c r="K130" s="6">
        <v>1</v>
      </c>
      <c r="L130" s="6">
        <v>0.9</v>
      </c>
      <c r="M130" s="6">
        <v>0</v>
      </c>
      <c r="N130" s="6">
        <v>0</v>
      </c>
      <c r="O130" s="6">
        <v>46.403249012099998</v>
      </c>
      <c r="P130" s="6">
        <v>46.403249012099998</v>
      </c>
      <c r="Q130" s="6">
        <v>42.167999999999999</v>
      </c>
      <c r="R130" s="9">
        <f t="shared" si="1"/>
        <v>254.55462627003001</v>
      </c>
    </row>
    <row r="131" spans="1:18">
      <c r="A131" s="6" t="str">
        <f>"60456540"</f>
        <v>60456540</v>
      </c>
      <c r="B131" s="6" t="s">
        <v>152</v>
      </c>
      <c r="C131" s="6">
        <v>46</v>
      </c>
      <c r="D131" s="6">
        <v>489.35279965369</v>
      </c>
      <c r="E131" s="6">
        <v>441.08971243756997</v>
      </c>
      <c r="F131" s="6">
        <v>0</v>
      </c>
      <c r="G131" s="6">
        <v>0</v>
      </c>
      <c r="H131" s="6">
        <v>0</v>
      </c>
      <c r="I131" s="6">
        <v>1</v>
      </c>
      <c r="J131" s="6">
        <v>0</v>
      </c>
      <c r="K131" s="6">
        <v>157.018</v>
      </c>
      <c r="L131" s="6">
        <v>141.316</v>
      </c>
      <c r="M131" s="6">
        <v>0</v>
      </c>
      <c r="N131" s="6">
        <v>0</v>
      </c>
      <c r="O131" s="6">
        <v>9.3869948421</v>
      </c>
      <c r="P131" s="6">
        <v>9.3869948421</v>
      </c>
      <c r="Q131" s="6">
        <v>293.64999999999998</v>
      </c>
      <c r="R131" s="9">
        <f t="shared" si="1"/>
        <v>885.44270727966989</v>
      </c>
    </row>
    <row r="132" spans="1:18">
      <c r="A132" s="6" t="str">
        <f>"00013251"</f>
        <v>00013251</v>
      </c>
      <c r="B132" s="6" t="s">
        <v>153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/>
      <c r="O132" s="6">
        <v>0</v>
      </c>
      <c r="P132" s="6">
        <v>0</v>
      </c>
      <c r="Q132" s="6">
        <v>0</v>
      </c>
      <c r="R132" s="9">
        <f t="shared" si="1"/>
        <v>0</v>
      </c>
    </row>
    <row r="133" spans="1:18">
      <c r="A133" s="6" t="str">
        <f>"00064190"</f>
        <v>00064190</v>
      </c>
      <c r="B133" s="6" t="s">
        <v>154</v>
      </c>
      <c r="C133" s="6">
        <v>317</v>
      </c>
      <c r="D133" s="6">
        <v>2723.5356909164998</v>
      </c>
      <c r="E133" s="6">
        <v>2512.7870036016998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209.94964934239999</v>
      </c>
      <c r="P133" s="6">
        <v>209.94964934239999</v>
      </c>
      <c r="Q133" s="6">
        <v>421.43200000000002</v>
      </c>
      <c r="R133" s="9">
        <f t="shared" ref="R133:R196" si="2">E133+H133+L133+P133+Q133</f>
        <v>3144.1686529440994</v>
      </c>
    </row>
    <row r="134" spans="1:18">
      <c r="A134" s="6" t="str">
        <f>"00023442"</f>
        <v>00023442</v>
      </c>
      <c r="B134" s="6" t="s">
        <v>155</v>
      </c>
      <c r="C134" s="6">
        <v>102</v>
      </c>
      <c r="D134" s="6">
        <v>2121.6828672859001</v>
      </c>
      <c r="E134" s="6">
        <v>1913.1448163017999</v>
      </c>
      <c r="F134" s="6">
        <v>0</v>
      </c>
      <c r="G134" s="6">
        <v>0</v>
      </c>
      <c r="H134" s="6">
        <v>0</v>
      </c>
      <c r="I134" s="6">
        <v>0.5</v>
      </c>
      <c r="J134" s="6">
        <v>0</v>
      </c>
      <c r="K134" s="6">
        <v>183.81200000000001</v>
      </c>
      <c r="L134" s="6">
        <v>165.43100000000001</v>
      </c>
      <c r="M134" s="6">
        <v>0</v>
      </c>
      <c r="N134" s="6">
        <v>0</v>
      </c>
      <c r="O134" s="6">
        <v>61.066593896000001</v>
      </c>
      <c r="P134" s="6">
        <v>61.066593896000001</v>
      </c>
      <c r="Q134" s="6">
        <v>53.853999999999999</v>
      </c>
      <c r="R134" s="9">
        <f t="shared" si="2"/>
        <v>2193.4964101977998</v>
      </c>
    </row>
    <row r="135" spans="1:18">
      <c r="A135" s="6" t="str">
        <f>"62243136"</f>
        <v>62243136</v>
      </c>
      <c r="B135" s="6" t="s">
        <v>156</v>
      </c>
      <c r="C135" s="6">
        <v>50</v>
      </c>
      <c r="D135" s="6">
        <v>1454.8738162540001</v>
      </c>
      <c r="E135" s="6">
        <v>1688.7981274763999</v>
      </c>
      <c r="F135" s="6">
        <v>0</v>
      </c>
      <c r="G135" s="6">
        <v>0</v>
      </c>
      <c r="H135" s="6">
        <v>0</v>
      </c>
      <c r="I135" s="6">
        <v>2.2888899999999999</v>
      </c>
      <c r="J135" s="6">
        <v>0</v>
      </c>
      <c r="K135" s="6">
        <v>616.37300000000005</v>
      </c>
      <c r="L135" s="6">
        <v>554.73599999999999</v>
      </c>
      <c r="M135" s="6">
        <v>90</v>
      </c>
      <c r="N135" s="6">
        <v>56.700000762938998</v>
      </c>
      <c r="O135" s="6">
        <v>751.83897903529999</v>
      </c>
      <c r="P135" s="6">
        <v>808.53897979819999</v>
      </c>
      <c r="Q135" s="6">
        <v>2913.16</v>
      </c>
      <c r="R135" s="9">
        <f t="shared" si="2"/>
        <v>5965.2331072746001</v>
      </c>
    </row>
    <row r="136" spans="1:18">
      <c r="A136" s="6" t="str">
        <f>"62690094"</f>
        <v>62690094</v>
      </c>
      <c r="B136" s="6" t="s">
        <v>157</v>
      </c>
      <c r="C136" s="6">
        <v>2170</v>
      </c>
      <c r="D136" s="6">
        <v>23964.690049969999</v>
      </c>
      <c r="E136" s="6">
        <v>19700.870849488001</v>
      </c>
      <c r="F136" s="6">
        <v>0</v>
      </c>
      <c r="G136" s="6">
        <v>0</v>
      </c>
      <c r="H136" s="6">
        <v>0</v>
      </c>
      <c r="I136" s="6">
        <v>4.1666699999999999</v>
      </c>
      <c r="J136" s="6">
        <v>0</v>
      </c>
      <c r="K136" s="6">
        <v>1748.72</v>
      </c>
      <c r="L136" s="6">
        <v>1573.85</v>
      </c>
      <c r="M136" s="6">
        <v>0</v>
      </c>
      <c r="N136" s="6">
        <v>0</v>
      </c>
      <c r="O136" s="6">
        <v>19.837440080099999</v>
      </c>
      <c r="P136" s="6">
        <v>19.837440080099999</v>
      </c>
      <c r="Q136" s="6">
        <v>154.64699999999999</v>
      </c>
      <c r="R136" s="9">
        <f t="shared" si="2"/>
        <v>21449.205289568101</v>
      </c>
    </row>
    <row r="137" spans="1:18">
      <c r="A137" s="6" t="str">
        <f>"46358978"</f>
        <v>46358978</v>
      </c>
      <c r="B137" s="6" t="s">
        <v>158</v>
      </c>
      <c r="C137" s="6">
        <v>27</v>
      </c>
      <c r="D137" s="6">
        <v>471.04399983585</v>
      </c>
      <c r="E137" s="6">
        <v>428.54956660829998</v>
      </c>
      <c r="F137" s="6">
        <v>0</v>
      </c>
      <c r="G137" s="6">
        <v>0</v>
      </c>
      <c r="H137" s="6">
        <v>0</v>
      </c>
      <c r="I137" s="6">
        <v>1</v>
      </c>
      <c r="J137" s="6">
        <v>0</v>
      </c>
      <c r="K137" s="6">
        <v>31.7547</v>
      </c>
      <c r="L137" s="6">
        <v>28.5792</v>
      </c>
      <c r="M137" s="6">
        <v>0</v>
      </c>
      <c r="N137" s="6"/>
      <c r="O137" s="6">
        <v>0</v>
      </c>
      <c r="P137" s="6">
        <v>0</v>
      </c>
      <c r="Q137" s="6">
        <v>0</v>
      </c>
      <c r="R137" s="9">
        <f t="shared" si="2"/>
        <v>457.1287666083</v>
      </c>
    </row>
    <row r="138" spans="1:18">
      <c r="A138" s="6" t="str">
        <f>"44555601"</f>
        <v>44555601</v>
      </c>
      <c r="B138" s="6" t="s">
        <v>159</v>
      </c>
      <c r="C138" s="6">
        <v>1690</v>
      </c>
      <c r="D138" s="6">
        <v>17624.559327301999</v>
      </c>
      <c r="E138" s="6">
        <v>17192.255673932999</v>
      </c>
      <c r="F138" s="6">
        <v>0</v>
      </c>
      <c r="G138" s="6">
        <v>0</v>
      </c>
      <c r="H138" s="6">
        <v>0</v>
      </c>
      <c r="I138" s="6">
        <v>5.7115400000000003</v>
      </c>
      <c r="J138" s="6">
        <v>0</v>
      </c>
      <c r="K138" s="6">
        <v>1884.16</v>
      </c>
      <c r="L138" s="6">
        <v>1695.74</v>
      </c>
      <c r="M138" s="6">
        <v>70</v>
      </c>
      <c r="N138" s="6">
        <v>65</v>
      </c>
      <c r="O138" s="6">
        <v>395.2558808535</v>
      </c>
      <c r="P138" s="6">
        <v>460.2558808535</v>
      </c>
      <c r="Q138" s="6">
        <v>1903.08</v>
      </c>
      <c r="R138" s="9">
        <f t="shared" si="2"/>
        <v>21251.331554786499</v>
      </c>
    </row>
    <row r="139" spans="1:18">
      <c r="A139" s="6" t="str">
        <f>"00216208"</f>
        <v>00216208</v>
      </c>
      <c r="B139" s="6" t="s">
        <v>160</v>
      </c>
      <c r="C139" s="6">
        <v>31342</v>
      </c>
      <c r="D139" s="6">
        <v>459506.63154789997</v>
      </c>
      <c r="E139" s="6">
        <v>467479.83510322002</v>
      </c>
      <c r="F139" s="6">
        <v>3</v>
      </c>
      <c r="G139" s="6">
        <v>3</v>
      </c>
      <c r="H139" s="6">
        <v>6000</v>
      </c>
      <c r="I139" s="6">
        <v>154.63399999999999</v>
      </c>
      <c r="J139" s="6">
        <v>53</v>
      </c>
      <c r="K139" s="6">
        <v>64307</v>
      </c>
      <c r="L139" s="6">
        <v>65048.7</v>
      </c>
      <c r="M139" s="6">
        <v>110</v>
      </c>
      <c r="N139" s="6">
        <v>95</v>
      </c>
      <c r="O139" s="6">
        <v>5071.9221542490995</v>
      </c>
      <c r="P139" s="6">
        <v>5166.9221542490995</v>
      </c>
      <c r="Q139" s="6">
        <v>18415.099999999999</v>
      </c>
      <c r="R139" s="9">
        <f t="shared" si="2"/>
        <v>562110.55725746916</v>
      </c>
    </row>
    <row r="140" spans="1:18">
      <c r="A140" s="6" t="str">
        <f>"61989592"</f>
        <v>61989592</v>
      </c>
      <c r="B140" s="6" t="s">
        <v>161</v>
      </c>
      <c r="C140" s="6">
        <v>9409</v>
      </c>
      <c r="D140" s="6">
        <v>155195.16389473001</v>
      </c>
      <c r="E140" s="6">
        <v>158419.85570734</v>
      </c>
      <c r="F140" s="6">
        <v>0</v>
      </c>
      <c r="G140" s="6">
        <v>0</v>
      </c>
      <c r="H140" s="6">
        <v>0</v>
      </c>
      <c r="I140" s="6">
        <v>42.414299999999997</v>
      </c>
      <c r="J140" s="6">
        <v>11</v>
      </c>
      <c r="K140" s="6">
        <v>18708.2</v>
      </c>
      <c r="L140" s="6">
        <v>18605.3</v>
      </c>
      <c r="M140" s="6">
        <v>1460</v>
      </c>
      <c r="N140" s="6">
        <v>1139</v>
      </c>
      <c r="O140" s="6">
        <v>2448.2673213891999</v>
      </c>
      <c r="P140" s="6">
        <v>3587.2673213891999</v>
      </c>
      <c r="Q140" s="6">
        <v>11303.9</v>
      </c>
      <c r="R140" s="9">
        <f t="shared" si="2"/>
        <v>191916.32302872918</v>
      </c>
    </row>
    <row r="141" spans="1:18">
      <c r="A141" s="6" t="str">
        <f>"00216275"</f>
        <v>00216275</v>
      </c>
      <c r="B141" s="6" t="s">
        <v>162</v>
      </c>
      <c r="C141" s="6">
        <v>2792</v>
      </c>
      <c r="D141" s="6">
        <v>51280.633935402999</v>
      </c>
      <c r="E141" s="6">
        <v>55655.091545714</v>
      </c>
      <c r="F141" s="6">
        <v>0</v>
      </c>
      <c r="G141" s="6">
        <v>0</v>
      </c>
      <c r="H141" s="6">
        <v>0</v>
      </c>
      <c r="I141" s="6">
        <v>16.2377</v>
      </c>
      <c r="J141" s="6">
        <v>1</v>
      </c>
      <c r="K141" s="6">
        <v>6532.41</v>
      </c>
      <c r="L141" s="6">
        <v>6118.84</v>
      </c>
      <c r="M141" s="6">
        <v>80</v>
      </c>
      <c r="N141" s="6">
        <v>55</v>
      </c>
      <c r="O141" s="6">
        <v>841.90504719269995</v>
      </c>
      <c r="P141" s="6">
        <v>896.90504719269995</v>
      </c>
      <c r="Q141" s="6">
        <v>4372.54</v>
      </c>
      <c r="R141" s="9">
        <f t="shared" si="2"/>
        <v>67043.376592906701</v>
      </c>
    </row>
    <row r="142" spans="1:18">
      <c r="A142" s="6" t="str">
        <f>"70883521"</f>
        <v>70883521</v>
      </c>
      <c r="B142" s="6" t="s">
        <v>163</v>
      </c>
      <c r="C142" s="6">
        <v>2816</v>
      </c>
      <c r="D142" s="6">
        <v>35519.432133911003</v>
      </c>
      <c r="E142" s="6">
        <v>34328.316371426998</v>
      </c>
      <c r="F142" s="6">
        <v>0</v>
      </c>
      <c r="G142" s="6">
        <v>0</v>
      </c>
      <c r="H142" s="6">
        <v>0</v>
      </c>
      <c r="I142" s="6">
        <v>6.2166699999999997</v>
      </c>
      <c r="J142" s="6">
        <v>0</v>
      </c>
      <c r="K142" s="6">
        <v>4173.29</v>
      </c>
      <c r="L142" s="6">
        <v>3755.96</v>
      </c>
      <c r="M142" s="6">
        <v>150</v>
      </c>
      <c r="N142" s="6">
        <v>137.5</v>
      </c>
      <c r="O142" s="6">
        <v>554.18036215480004</v>
      </c>
      <c r="P142" s="6">
        <v>691.68036215480004</v>
      </c>
      <c r="Q142" s="6">
        <v>6229.91</v>
      </c>
      <c r="R142" s="9">
        <f t="shared" si="2"/>
        <v>45005.866733581803</v>
      </c>
    </row>
    <row r="143" spans="1:18">
      <c r="A143" s="6" t="str">
        <f>"75112779"</f>
        <v>75112779</v>
      </c>
      <c r="B143" s="6" t="s">
        <v>164</v>
      </c>
      <c r="C143" s="6">
        <v>82</v>
      </c>
      <c r="D143" s="6">
        <v>606.59436893856002</v>
      </c>
      <c r="E143" s="6">
        <v>427.27075476228998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/>
      <c r="O143" s="6">
        <v>0</v>
      </c>
      <c r="P143" s="6">
        <v>0</v>
      </c>
      <c r="Q143" s="6">
        <v>0</v>
      </c>
      <c r="R143" s="9">
        <f t="shared" si="2"/>
        <v>427.27075476228998</v>
      </c>
    </row>
    <row r="144" spans="1:18">
      <c r="A144" s="6" t="str">
        <f>"68081715"</f>
        <v>68081715</v>
      </c>
      <c r="B144" s="6" t="s">
        <v>165</v>
      </c>
      <c r="C144" s="6">
        <v>203</v>
      </c>
      <c r="D144" s="6">
        <v>10245.369625027</v>
      </c>
      <c r="E144" s="6">
        <v>12501.018085049</v>
      </c>
      <c r="F144" s="6">
        <v>0</v>
      </c>
      <c r="G144" s="6">
        <v>0</v>
      </c>
      <c r="H144" s="6">
        <v>0</v>
      </c>
      <c r="I144" s="6">
        <v>4</v>
      </c>
      <c r="J144" s="6">
        <v>0</v>
      </c>
      <c r="K144" s="6">
        <v>1320.83</v>
      </c>
      <c r="L144" s="6">
        <v>1188.75</v>
      </c>
      <c r="M144" s="6">
        <v>100</v>
      </c>
      <c r="N144" s="6">
        <v>50</v>
      </c>
      <c r="O144" s="6">
        <v>122.5626581444</v>
      </c>
      <c r="P144" s="6">
        <v>172.56265814439999</v>
      </c>
      <c r="Q144" s="6">
        <v>384.96899999999999</v>
      </c>
      <c r="R144" s="9">
        <f t="shared" si="2"/>
        <v>14247.299743193398</v>
      </c>
    </row>
    <row r="145" spans="1:18">
      <c r="A145" s="6" t="str">
        <f>"61388980"</f>
        <v>61388980</v>
      </c>
      <c r="B145" s="6" t="s">
        <v>166</v>
      </c>
      <c r="C145" s="6">
        <v>409</v>
      </c>
      <c r="D145" s="6">
        <v>8793.4383859542995</v>
      </c>
      <c r="E145" s="6">
        <v>10823.347609564</v>
      </c>
      <c r="F145" s="6">
        <v>0</v>
      </c>
      <c r="G145" s="6">
        <v>0</v>
      </c>
      <c r="H145" s="6">
        <v>0</v>
      </c>
      <c r="I145" s="6">
        <v>3.6282100000000002</v>
      </c>
      <c r="J145" s="6">
        <v>0</v>
      </c>
      <c r="K145" s="6">
        <v>1675.3</v>
      </c>
      <c r="L145" s="6">
        <v>1507.77</v>
      </c>
      <c r="M145" s="6">
        <v>10</v>
      </c>
      <c r="N145" s="6">
        <v>5</v>
      </c>
      <c r="O145" s="6">
        <v>109.0036655947</v>
      </c>
      <c r="P145" s="6">
        <v>114.0036655947</v>
      </c>
      <c r="Q145" s="6">
        <v>817.93299999999999</v>
      </c>
      <c r="R145" s="9">
        <f t="shared" si="2"/>
        <v>13263.054275158702</v>
      </c>
    </row>
    <row r="146" spans="1:18">
      <c r="A146" s="6" t="str">
        <f>"48511005"</f>
        <v>48511005</v>
      </c>
      <c r="B146" s="6" t="s">
        <v>167</v>
      </c>
      <c r="C146" s="6">
        <v>44</v>
      </c>
      <c r="D146" s="6">
        <v>366.74616758654997</v>
      </c>
      <c r="E146" s="6">
        <v>315.49863619204001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/>
      <c r="O146" s="6">
        <v>0</v>
      </c>
      <c r="P146" s="6">
        <v>0</v>
      </c>
      <c r="Q146" s="6">
        <v>0</v>
      </c>
      <c r="R146" s="9">
        <f t="shared" si="2"/>
        <v>315.49863619204001</v>
      </c>
    </row>
    <row r="147" spans="1:18">
      <c r="A147" s="6" t="str">
        <f>"47325011"</f>
        <v>47325011</v>
      </c>
      <c r="B147" s="6" t="s">
        <v>168</v>
      </c>
      <c r="C147" s="6">
        <v>22</v>
      </c>
      <c r="D147" s="6">
        <v>182.19908858669999</v>
      </c>
      <c r="E147" s="6">
        <v>161.67698221165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/>
      <c r="O147" s="6">
        <v>0</v>
      </c>
      <c r="P147" s="6">
        <v>0</v>
      </c>
      <c r="Q147" s="6">
        <v>0</v>
      </c>
      <c r="R147" s="9">
        <f t="shared" si="2"/>
        <v>161.67698221165</v>
      </c>
    </row>
    <row r="148" spans="1:18">
      <c r="A148" s="6" t="str">
        <f>"68081766"</f>
        <v>68081766</v>
      </c>
      <c r="B148" s="6" t="s">
        <v>169</v>
      </c>
      <c r="C148" s="6">
        <v>505</v>
      </c>
      <c r="D148" s="6">
        <v>9931.9570614462991</v>
      </c>
      <c r="E148" s="6">
        <v>10240.448428284</v>
      </c>
      <c r="F148" s="6">
        <v>0</v>
      </c>
      <c r="G148" s="6">
        <v>0</v>
      </c>
      <c r="H148" s="6">
        <v>0</v>
      </c>
      <c r="I148" s="6">
        <v>2.7480500000000001</v>
      </c>
      <c r="J148" s="6">
        <v>0</v>
      </c>
      <c r="K148" s="6">
        <v>1160.69</v>
      </c>
      <c r="L148" s="6">
        <v>1044.6199999999999</v>
      </c>
      <c r="M148" s="6">
        <v>0</v>
      </c>
      <c r="N148" s="6">
        <v>0</v>
      </c>
      <c r="O148" s="6">
        <v>58.101203368599997</v>
      </c>
      <c r="P148" s="6">
        <v>58.101203368599997</v>
      </c>
      <c r="Q148" s="6">
        <v>68.964299999999994</v>
      </c>
      <c r="R148" s="9">
        <f t="shared" si="2"/>
        <v>11412.133931652601</v>
      </c>
    </row>
    <row r="149" spans="1:18">
      <c r="A149" s="6" t="str">
        <f>"68378033"</f>
        <v>68378033</v>
      </c>
      <c r="B149" s="6" t="s">
        <v>170</v>
      </c>
      <c r="C149" s="6">
        <v>619</v>
      </c>
      <c r="D149" s="6">
        <v>3497.2184084819</v>
      </c>
      <c r="E149" s="6">
        <v>3357.3591425482</v>
      </c>
      <c r="F149" s="6">
        <v>0</v>
      </c>
      <c r="G149" s="6">
        <v>0</v>
      </c>
      <c r="H149" s="6">
        <v>0</v>
      </c>
      <c r="I149" s="6">
        <v>2.2571400000000001</v>
      </c>
      <c r="J149" s="6">
        <v>0</v>
      </c>
      <c r="K149" s="6">
        <v>508.65300000000002</v>
      </c>
      <c r="L149" s="6">
        <v>457.78800000000001</v>
      </c>
      <c r="M149" s="6">
        <v>0</v>
      </c>
      <c r="N149" s="6">
        <v>0</v>
      </c>
      <c r="O149" s="6">
        <v>32.9669622774</v>
      </c>
      <c r="P149" s="6">
        <v>32.9669622774</v>
      </c>
      <c r="Q149" s="6">
        <v>123.747</v>
      </c>
      <c r="R149" s="9">
        <f t="shared" si="2"/>
        <v>3971.8611048255998</v>
      </c>
    </row>
    <row r="150" spans="1:18">
      <c r="A150" s="6" t="str">
        <f>"61389030"</f>
        <v>61389030</v>
      </c>
      <c r="B150" s="6" t="s">
        <v>171</v>
      </c>
      <c r="C150" s="6">
        <v>582</v>
      </c>
      <c r="D150" s="6">
        <v>17153.123569194999</v>
      </c>
      <c r="E150" s="6">
        <v>17841.720391170002</v>
      </c>
      <c r="F150" s="6">
        <v>0</v>
      </c>
      <c r="G150" s="6">
        <v>0</v>
      </c>
      <c r="H150" s="6">
        <v>0</v>
      </c>
      <c r="I150" s="6">
        <v>9.1940000000000008</v>
      </c>
      <c r="J150" s="6">
        <v>2</v>
      </c>
      <c r="K150" s="6">
        <v>2666.21</v>
      </c>
      <c r="L150" s="6">
        <v>2572.35</v>
      </c>
      <c r="M150" s="6">
        <v>400</v>
      </c>
      <c r="N150" s="6">
        <v>400</v>
      </c>
      <c r="O150" s="6">
        <v>132.706338845</v>
      </c>
      <c r="P150" s="6">
        <v>532.706338845</v>
      </c>
      <c r="Q150" s="6">
        <v>3009.51</v>
      </c>
      <c r="R150" s="9">
        <f t="shared" si="2"/>
        <v>23956.286730015003</v>
      </c>
    </row>
    <row r="151" spans="1:18">
      <c r="A151" s="6" t="str">
        <f>"68378041"</f>
        <v>68378041</v>
      </c>
      <c r="B151" s="6" t="s">
        <v>172</v>
      </c>
      <c r="C151" s="6">
        <v>432</v>
      </c>
      <c r="D151" s="6">
        <v>10303.830054407999</v>
      </c>
      <c r="E151" s="6">
        <v>9926.2787959654997</v>
      </c>
      <c r="F151" s="6">
        <v>0</v>
      </c>
      <c r="G151" s="6">
        <v>0</v>
      </c>
      <c r="H151" s="6">
        <v>0</v>
      </c>
      <c r="I151" s="6">
        <v>8.8671799999999994</v>
      </c>
      <c r="J151" s="6">
        <v>1</v>
      </c>
      <c r="K151" s="6">
        <v>1532.77</v>
      </c>
      <c r="L151" s="6">
        <v>1418.63</v>
      </c>
      <c r="M151" s="6">
        <v>110</v>
      </c>
      <c r="N151" s="6">
        <v>44</v>
      </c>
      <c r="O151" s="6">
        <v>184.65180049809999</v>
      </c>
      <c r="P151" s="6">
        <v>228.65180049809999</v>
      </c>
      <c r="Q151" s="6">
        <v>959.00300000000004</v>
      </c>
      <c r="R151" s="9">
        <f t="shared" si="2"/>
        <v>12532.563596463602</v>
      </c>
    </row>
    <row r="152" spans="1:18">
      <c r="A152" s="6" t="str">
        <f>"67985882"</f>
        <v>67985882</v>
      </c>
      <c r="B152" s="6" t="s">
        <v>173</v>
      </c>
      <c r="C152" s="6">
        <v>364</v>
      </c>
      <c r="D152" s="6">
        <v>9325.5046655294991</v>
      </c>
      <c r="E152" s="6">
        <v>9809.0788240334005</v>
      </c>
      <c r="F152" s="6">
        <v>0</v>
      </c>
      <c r="G152" s="6">
        <v>0</v>
      </c>
      <c r="H152" s="6">
        <v>0</v>
      </c>
      <c r="I152" s="6">
        <v>5.9071400000000001</v>
      </c>
      <c r="J152" s="6">
        <v>3</v>
      </c>
      <c r="K152" s="6">
        <v>1887.51</v>
      </c>
      <c r="L152" s="6">
        <v>2174.66</v>
      </c>
      <c r="M152" s="6">
        <v>0</v>
      </c>
      <c r="N152" s="6">
        <v>0</v>
      </c>
      <c r="O152" s="6">
        <v>132.35867236940001</v>
      </c>
      <c r="P152" s="6">
        <v>132.35867236940001</v>
      </c>
      <c r="Q152" s="6">
        <v>509.85899999999998</v>
      </c>
      <c r="R152" s="9">
        <f t="shared" si="2"/>
        <v>12625.956496402801</v>
      </c>
    </row>
    <row r="153" spans="1:18">
      <c r="A153" s="6" t="str">
        <f>"61388955"</f>
        <v>61388955</v>
      </c>
      <c r="B153" s="6" t="s">
        <v>174</v>
      </c>
      <c r="C153" s="6">
        <v>981</v>
      </c>
      <c r="D153" s="6">
        <v>32151.79455898</v>
      </c>
      <c r="E153" s="6">
        <v>39510.530235929</v>
      </c>
      <c r="F153" s="6">
        <v>0</v>
      </c>
      <c r="G153" s="6">
        <v>0</v>
      </c>
      <c r="H153" s="6">
        <v>0</v>
      </c>
      <c r="I153" s="6">
        <v>5.9238099999999996</v>
      </c>
      <c r="J153" s="6">
        <v>2</v>
      </c>
      <c r="K153" s="6">
        <v>5980.24</v>
      </c>
      <c r="L153" s="6">
        <v>6284.35</v>
      </c>
      <c r="M153" s="6">
        <v>50</v>
      </c>
      <c r="N153" s="6">
        <v>33.299999237061002</v>
      </c>
      <c r="O153" s="6">
        <v>168.37282905090001</v>
      </c>
      <c r="P153" s="6">
        <v>201.67282828789999</v>
      </c>
      <c r="Q153" s="6">
        <v>526.73299999999995</v>
      </c>
      <c r="R153" s="9">
        <f t="shared" si="2"/>
        <v>46523.286064216896</v>
      </c>
    </row>
    <row r="154" spans="1:18">
      <c r="A154" s="6" t="str">
        <f>"68378289"</f>
        <v>68378289</v>
      </c>
      <c r="B154" s="6" t="s">
        <v>175</v>
      </c>
      <c r="C154" s="6">
        <v>266</v>
      </c>
      <c r="D154" s="6">
        <v>5570.9417419005003</v>
      </c>
      <c r="E154" s="6">
        <v>6228.3799544236999</v>
      </c>
      <c r="F154" s="6">
        <v>0</v>
      </c>
      <c r="G154" s="6">
        <v>0</v>
      </c>
      <c r="H154" s="6">
        <v>0</v>
      </c>
      <c r="I154" s="6">
        <v>4.0714300000000003</v>
      </c>
      <c r="J154" s="6">
        <v>3</v>
      </c>
      <c r="K154" s="6">
        <v>1016.67</v>
      </c>
      <c r="L154" s="6">
        <v>1093.52</v>
      </c>
      <c r="M154" s="6">
        <v>0</v>
      </c>
      <c r="N154" s="6">
        <v>0</v>
      </c>
      <c r="O154" s="6">
        <v>64.788670282200002</v>
      </c>
      <c r="P154" s="6">
        <v>64.788670282200002</v>
      </c>
      <c r="Q154" s="6">
        <v>284.05799999999999</v>
      </c>
      <c r="R154" s="9">
        <f t="shared" si="2"/>
        <v>7670.7466247058992</v>
      </c>
    </row>
    <row r="155" spans="1:18">
      <c r="A155" s="6" t="str">
        <f>"68081723"</f>
        <v>68081723</v>
      </c>
      <c r="B155" s="6" t="s">
        <v>176</v>
      </c>
      <c r="C155" s="6">
        <v>576</v>
      </c>
      <c r="D155" s="6">
        <v>12630.299657354</v>
      </c>
      <c r="E155" s="6">
        <v>14108.429129414</v>
      </c>
      <c r="F155" s="6">
        <v>0</v>
      </c>
      <c r="G155" s="6">
        <v>0</v>
      </c>
      <c r="H155" s="6">
        <v>0</v>
      </c>
      <c r="I155" s="6">
        <v>4.7805200000000001</v>
      </c>
      <c r="J155" s="6">
        <v>0</v>
      </c>
      <c r="K155" s="6">
        <v>1668.27</v>
      </c>
      <c r="L155" s="6">
        <v>1501.44</v>
      </c>
      <c r="M155" s="6">
        <v>0</v>
      </c>
      <c r="N155" s="6">
        <v>0</v>
      </c>
      <c r="O155" s="6">
        <v>185.73570186320001</v>
      </c>
      <c r="P155" s="6">
        <v>185.73570186320001</v>
      </c>
      <c r="Q155" s="6">
        <v>434.995</v>
      </c>
      <c r="R155" s="9">
        <f t="shared" si="2"/>
        <v>16230.599831277201</v>
      </c>
    </row>
    <row r="156" spans="1:18">
      <c r="A156" s="6" t="str">
        <f>"61389021"</f>
        <v>61389021</v>
      </c>
      <c r="B156" s="6" t="s">
        <v>177</v>
      </c>
      <c r="C156" s="6">
        <v>345</v>
      </c>
      <c r="D156" s="6">
        <v>6236.8316366179997</v>
      </c>
      <c r="E156" s="6">
        <v>7970.8011217781996</v>
      </c>
      <c r="F156" s="6">
        <v>0</v>
      </c>
      <c r="G156" s="6">
        <v>0</v>
      </c>
      <c r="H156" s="6">
        <v>0</v>
      </c>
      <c r="I156" s="6">
        <v>6.0238100000000001</v>
      </c>
      <c r="J156" s="6">
        <v>1</v>
      </c>
      <c r="K156" s="6">
        <v>1117.26</v>
      </c>
      <c r="L156" s="6">
        <v>1116.03</v>
      </c>
      <c r="M156" s="6">
        <v>40</v>
      </c>
      <c r="N156" s="6">
        <v>23</v>
      </c>
      <c r="O156" s="6">
        <v>411.41214648559998</v>
      </c>
      <c r="P156" s="6">
        <v>434.41214648559998</v>
      </c>
      <c r="Q156" s="6">
        <v>681.14</v>
      </c>
      <c r="R156" s="9">
        <f t="shared" si="2"/>
        <v>10202.383268263799</v>
      </c>
    </row>
    <row r="157" spans="1:18">
      <c r="A157" s="6" t="str">
        <f>"68145535"</f>
        <v>68145535</v>
      </c>
      <c r="B157" s="6" t="s">
        <v>178</v>
      </c>
      <c r="C157" s="6">
        <v>287</v>
      </c>
      <c r="D157" s="6">
        <v>4223.7133092793001</v>
      </c>
      <c r="E157" s="6">
        <v>3977.4862899753998</v>
      </c>
      <c r="F157" s="6">
        <v>0</v>
      </c>
      <c r="G157" s="6">
        <v>0</v>
      </c>
      <c r="H157" s="6">
        <v>0</v>
      </c>
      <c r="I157" s="6">
        <v>3.5238100000000001</v>
      </c>
      <c r="J157" s="6">
        <v>1</v>
      </c>
      <c r="K157" s="6">
        <v>517.49300000000005</v>
      </c>
      <c r="L157" s="6">
        <v>553.23299999999995</v>
      </c>
      <c r="M157" s="6">
        <v>0</v>
      </c>
      <c r="N157" s="6">
        <v>0</v>
      </c>
      <c r="O157" s="6">
        <v>191.4824241956</v>
      </c>
      <c r="P157" s="6">
        <v>191.4824241956</v>
      </c>
      <c r="Q157" s="6">
        <v>1164.47</v>
      </c>
      <c r="R157" s="9">
        <f t="shared" si="2"/>
        <v>5886.6717141710005</v>
      </c>
    </row>
    <row r="158" spans="1:18">
      <c r="A158" s="6" t="str">
        <f>"00023736"</f>
        <v>00023736</v>
      </c>
      <c r="B158" s="6" t="s">
        <v>179</v>
      </c>
      <c r="C158" s="6">
        <v>318</v>
      </c>
      <c r="D158" s="6">
        <v>4987.5241886331996</v>
      </c>
      <c r="E158" s="6">
        <v>4694.0005582090998</v>
      </c>
      <c r="F158" s="6">
        <v>0</v>
      </c>
      <c r="G158" s="6">
        <v>0</v>
      </c>
      <c r="H158" s="6">
        <v>0</v>
      </c>
      <c r="I158" s="6">
        <v>1.45455</v>
      </c>
      <c r="J158" s="6">
        <v>0</v>
      </c>
      <c r="K158" s="6">
        <v>790.495</v>
      </c>
      <c r="L158" s="6">
        <v>711.44500000000005</v>
      </c>
      <c r="M158" s="6">
        <v>0</v>
      </c>
      <c r="N158" s="6">
        <v>0</v>
      </c>
      <c r="O158" s="6">
        <v>577.24905536129995</v>
      </c>
      <c r="P158" s="6">
        <v>577.24905536129995</v>
      </c>
      <c r="Q158" s="6">
        <v>1290.22</v>
      </c>
      <c r="R158" s="9">
        <f t="shared" si="2"/>
        <v>7272.9146135703995</v>
      </c>
    </row>
    <row r="159" spans="1:18">
      <c r="A159" s="6" t="str">
        <f>"67985858"</f>
        <v>67985858</v>
      </c>
      <c r="B159" s="6" t="s">
        <v>180</v>
      </c>
      <c r="C159" s="6">
        <v>499</v>
      </c>
      <c r="D159" s="6">
        <v>12868.576008227999</v>
      </c>
      <c r="E159" s="6">
        <v>15844.679244252</v>
      </c>
      <c r="F159" s="6">
        <v>0</v>
      </c>
      <c r="G159" s="6">
        <v>0</v>
      </c>
      <c r="H159" s="6">
        <v>0</v>
      </c>
      <c r="I159" s="6">
        <v>6.4055600000000004</v>
      </c>
      <c r="J159" s="6">
        <v>1</v>
      </c>
      <c r="K159" s="6">
        <v>2482.52</v>
      </c>
      <c r="L159" s="6">
        <v>2465.15</v>
      </c>
      <c r="M159" s="6">
        <v>390</v>
      </c>
      <c r="N159" s="6">
        <v>180.69999980927</v>
      </c>
      <c r="O159" s="6">
        <v>737.46194771939997</v>
      </c>
      <c r="P159" s="6">
        <v>918.16194752870001</v>
      </c>
      <c r="Q159" s="6">
        <v>2323.31</v>
      </c>
      <c r="R159" s="9">
        <f t="shared" si="2"/>
        <v>21551.301191780702</v>
      </c>
    </row>
    <row r="160" spans="1:18">
      <c r="A160" s="6" t="str">
        <f>"67985807"</f>
        <v>67985807</v>
      </c>
      <c r="B160" s="6" t="s">
        <v>181</v>
      </c>
      <c r="C160" s="6">
        <v>512</v>
      </c>
      <c r="D160" s="6">
        <v>9689.7525074171008</v>
      </c>
      <c r="E160" s="6">
        <v>8371.9511485236999</v>
      </c>
      <c r="F160" s="6">
        <v>0</v>
      </c>
      <c r="G160" s="6">
        <v>0</v>
      </c>
      <c r="H160" s="6">
        <v>0</v>
      </c>
      <c r="I160" s="6">
        <v>5.3055599999999998</v>
      </c>
      <c r="J160" s="6">
        <v>1</v>
      </c>
      <c r="K160" s="6">
        <v>1254.19</v>
      </c>
      <c r="L160" s="6">
        <v>1269.5999999999999</v>
      </c>
      <c r="M160" s="6">
        <v>0</v>
      </c>
      <c r="N160" s="6">
        <v>0</v>
      </c>
      <c r="O160" s="6">
        <v>11.6979543565</v>
      </c>
      <c r="P160" s="6">
        <v>11.6979543565</v>
      </c>
      <c r="Q160" s="6">
        <v>509.30200000000002</v>
      </c>
      <c r="R160" s="9">
        <f t="shared" si="2"/>
        <v>10162.551102880199</v>
      </c>
    </row>
    <row r="161" spans="1:18">
      <c r="A161" s="6" t="str">
        <f>"61389005"</f>
        <v>61389005</v>
      </c>
      <c r="B161" s="6" t="s">
        <v>182</v>
      </c>
      <c r="C161" s="6">
        <v>812</v>
      </c>
      <c r="D161" s="6">
        <v>13124.395349652001</v>
      </c>
      <c r="E161" s="6">
        <v>17485.831520930002</v>
      </c>
      <c r="F161" s="6">
        <v>0</v>
      </c>
      <c r="G161" s="6">
        <v>0</v>
      </c>
      <c r="H161" s="6">
        <v>0</v>
      </c>
      <c r="I161" s="6">
        <v>9.4862599999999997</v>
      </c>
      <c r="J161" s="6">
        <v>2</v>
      </c>
      <c r="K161" s="6">
        <v>2323.4</v>
      </c>
      <c r="L161" s="6">
        <v>2112.9499999999998</v>
      </c>
      <c r="M161" s="6">
        <v>20</v>
      </c>
      <c r="N161" s="6">
        <v>10</v>
      </c>
      <c r="O161" s="6">
        <v>120.4766592905</v>
      </c>
      <c r="P161" s="6">
        <v>130.47665929050001</v>
      </c>
      <c r="Q161" s="6">
        <v>255.04900000000001</v>
      </c>
      <c r="R161" s="9">
        <f t="shared" si="2"/>
        <v>19984.307180220501</v>
      </c>
    </row>
    <row r="162" spans="1:18">
      <c r="A162" s="6" t="str">
        <f>"61389013"</f>
        <v>61389013</v>
      </c>
      <c r="B162" s="6" t="s">
        <v>183</v>
      </c>
      <c r="C162" s="6">
        <v>963</v>
      </c>
      <c r="D162" s="6">
        <v>27764.222984160999</v>
      </c>
      <c r="E162" s="6">
        <v>33395.783745314002</v>
      </c>
      <c r="F162" s="6">
        <v>0</v>
      </c>
      <c r="G162" s="6">
        <v>0</v>
      </c>
      <c r="H162" s="6">
        <v>0</v>
      </c>
      <c r="I162" s="6">
        <v>9.7015600000000006</v>
      </c>
      <c r="J162" s="6">
        <v>2</v>
      </c>
      <c r="K162" s="6">
        <v>4113.3900000000003</v>
      </c>
      <c r="L162" s="6">
        <v>3997.58</v>
      </c>
      <c r="M162" s="6">
        <v>350</v>
      </c>
      <c r="N162" s="6">
        <v>180</v>
      </c>
      <c r="O162" s="6">
        <v>299.13632582619999</v>
      </c>
      <c r="P162" s="6">
        <v>479.13632582619999</v>
      </c>
      <c r="Q162" s="6">
        <v>1976.23</v>
      </c>
      <c r="R162" s="9">
        <f t="shared" si="2"/>
        <v>39848.730071140206</v>
      </c>
    </row>
    <row r="163" spans="1:18">
      <c r="A163" s="6" t="str">
        <f>"48546054"</f>
        <v>48546054</v>
      </c>
      <c r="B163" s="6" t="s">
        <v>184</v>
      </c>
      <c r="C163" s="6">
        <v>217</v>
      </c>
      <c r="D163" s="6">
        <v>3721.9884687906001</v>
      </c>
      <c r="E163" s="6">
        <v>3387.7406190647998</v>
      </c>
      <c r="F163" s="6">
        <v>0</v>
      </c>
      <c r="G163" s="6">
        <v>0</v>
      </c>
      <c r="H163" s="6">
        <v>0</v>
      </c>
      <c r="I163" s="6">
        <v>1</v>
      </c>
      <c r="J163" s="6">
        <v>0</v>
      </c>
      <c r="K163" s="6">
        <v>344.75900000000001</v>
      </c>
      <c r="L163" s="6">
        <v>310.28300000000002</v>
      </c>
      <c r="M163" s="6">
        <v>0</v>
      </c>
      <c r="N163" s="6">
        <v>0</v>
      </c>
      <c r="O163" s="6">
        <v>17.362872812399999</v>
      </c>
      <c r="P163" s="6">
        <v>17.362872812399999</v>
      </c>
      <c r="Q163" s="6">
        <v>135.71</v>
      </c>
      <c r="R163" s="9">
        <f t="shared" si="2"/>
        <v>3851.0964918771997</v>
      </c>
    </row>
    <row r="164" spans="1:18">
      <c r="A164" s="6" t="str">
        <f>"68378050"</f>
        <v>68378050</v>
      </c>
      <c r="B164" s="6" t="s">
        <v>185</v>
      </c>
      <c r="C164" s="6">
        <v>398</v>
      </c>
      <c r="D164" s="6">
        <v>14271.328957905</v>
      </c>
      <c r="E164" s="6">
        <v>14805.129249025</v>
      </c>
      <c r="F164" s="6">
        <v>0</v>
      </c>
      <c r="G164" s="6">
        <v>0</v>
      </c>
      <c r="H164" s="6">
        <v>0</v>
      </c>
      <c r="I164" s="6">
        <v>11.970499999999999</v>
      </c>
      <c r="J164" s="6">
        <v>8</v>
      </c>
      <c r="K164" s="6">
        <v>2336.4</v>
      </c>
      <c r="L164" s="6">
        <v>2780.08</v>
      </c>
      <c r="M164" s="6">
        <v>10</v>
      </c>
      <c r="N164" s="6">
        <v>2</v>
      </c>
      <c r="O164" s="6">
        <v>734.12843974730004</v>
      </c>
      <c r="P164" s="6">
        <v>736.12843974730004</v>
      </c>
      <c r="Q164" s="6">
        <v>3113.29</v>
      </c>
      <c r="R164" s="9">
        <f t="shared" si="2"/>
        <v>21434.6276887723</v>
      </c>
    </row>
    <row r="165" spans="1:18">
      <c r="A165" s="6" t="str">
        <f>"61388963"</f>
        <v>61388963</v>
      </c>
      <c r="B165" s="6" t="s">
        <v>186</v>
      </c>
      <c r="C165" s="6">
        <v>1444</v>
      </c>
      <c r="D165" s="6">
        <v>49616.204420121998</v>
      </c>
      <c r="E165" s="6">
        <v>60956.915467239</v>
      </c>
      <c r="F165" s="6">
        <v>0</v>
      </c>
      <c r="G165" s="6">
        <v>0</v>
      </c>
      <c r="H165" s="6">
        <v>0</v>
      </c>
      <c r="I165" s="6">
        <v>20.3</v>
      </c>
      <c r="J165" s="6">
        <v>5</v>
      </c>
      <c r="K165" s="6">
        <v>10160</v>
      </c>
      <c r="L165" s="6">
        <v>9740.33</v>
      </c>
      <c r="M165" s="6">
        <v>730</v>
      </c>
      <c r="N165" s="6">
        <v>461.43000030517999</v>
      </c>
      <c r="O165" s="6">
        <v>492.45933724579999</v>
      </c>
      <c r="P165" s="6">
        <v>953.88933755100004</v>
      </c>
      <c r="Q165" s="6">
        <v>2782.17</v>
      </c>
      <c r="R165" s="9">
        <f t="shared" si="2"/>
        <v>74433.304804789994</v>
      </c>
    </row>
    <row r="166" spans="1:18">
      <c r="A166" s="6" t="str">
        <f>"68378068"</f>
        <v>68378068</v>
      </c>
      <c r="B166" s="6" t="s">
        <v>187</v>
      </c>
      <c r="C166" s="6">
        <v>418</v>
      </c>
      <c r="D166" s="6">
        <v>6104.7031294217004</v>
      </c>
      <c r="E166" s="6">
        <v>6034.4780161130002</v>
      </c>
      <c r="F166" s="6">
        <v>0</v>
      </c>
      <c r="G166" s="6">
        <v>0</v>
      </c>
      <c r="H166" s="6">
        <v>0</v>
      </c>
      <c r="I166" s="6">
        <v>4.5555599999999998</v>
      </c>
      <c r="J166" s="6">
        <v>0</v>
      </c>
      <c r="K166" s="6">
        <v>976.226</v>
      </c>
      <c r="L166" s="6">
        <v>878.60299999999995</v>
      </c>
      <c r="M166" s="6">
        <v>0</v>
      </c>
      <c r="N166" s="6">
        <v>0</v>
      </c>
      <c r="O166" s="6">
        <v>66.261140061299997</v>
      </c>
      <c r="P166" s="6">
        <v>66.261140061299997</v>
      </c>
      <c r="Q166" s="6">
        <v>160.636</v>
      </c>
      <c r="R166" s="9">
        <f t="shared" si="2"/>
        <v>7139.9781561743002</v>
      </c>
    </row>
    <row r="167" spans="1:18">
      <c r="A167" s="6" t="str">
        <f>"67985874"</f>
        <v>67985874</v>
      </c>
      <c r="B167" s="6" t="s">
        <v>188</v>
      </c>
      <c r="C167" s="6">
        <v>139</v>
      </c>
      <c r="D167" s="6">
        <v>2687.5855693352</v>
      </c>
      <c r="E167" s="6">
        <v>3514.4353760872</v>
      </c>
      <c r="F167" s="6">
        <v>0</v>
      </c>
      <c r="G167" s="6">
        <v>0</v>
      </c>
      <c r="H167" s="6">
        <v>0</v>
      </c>
      <c r="I167" s="6">
        <v>2.8666700000000001</v>
      </c>
      <c r="J167" s="6">
        <v>1</v>
      </c>
      <c r="K167" s="6">
        <v>332.03899999999999</v>
      </c>
      <c r="L167" s="6">
        <v>312.63600000000002</v>
      </c>
      <c r="M167" s="6">
        <v>0</v>
      </c>
      <c r="N167" s="6">
        <v>0</v>
      </c>
      <c r="O167" s="6">
        <v>20.410067216400002</v>
      </c>
      <c r="P167" s="6">
        <v>20.410067216400002</v>
      </c>
      <c r="Q167" s="6">
        <v>241.61099999999999</v>
      </c>
      <c r="R167" s="9">
        <f t="shared" si="2"/>
        <v>4089.0924433035998</v>
      </c>
    </row>
    <row r="168" spans="1:18">
      <c r="A168" s="6" t="str">
        <f>"68378092"</f>
        <v>68378092</v>
      </c>
      <c r="B168" s="6" t="s">
        <v>189</v>
      </c>
      <c r="C168" s="6">
        <v>326</v>
      </c>
      <c r="D168" s="6">
        <v>3242.9665896299998</v>
      </c>
      <c r="E168" s="6">
        <v>2959.0435844620001</v>
      </c>
      <c r="F168" s="6">
        <v>0</v>
      </c>
      <c r="G168" s="6">
        <v>0</v>
      </c>
      <c r="H168" s="6">
        <v>0</v>
      </c>
      <c r="I168" s="6">
        <v>3.88889</v>
      </c>
      <c r="J168" s="6">
        <v>0</v>
      </c>
      <c r="K168" s="6">
        <v>355.97199999999998</v>
      </c>
      <c r="L168" s="6">
        <v>320.375</v>
      </c>
      <c r="M168" s="6">
        <v>0</v>
      </c>
      <c r="N168" s="6">
        <v>0</v>
      </c>
      <c r="O168" s="6">
        <v>169.2726716937</v>
      </c>
      <c r="P168" s="6">
        <v>169.2726716937</v>
      </c>
      <c r="Q168" s="6">
        <v>191.62299999999999</v>
      </c>
      <c r="R168" s="9">
        <f t="shared" si="2"/>
        <v>3640.3142561557001</v>
      </c>
    </row>
    <row r="169" spans="1:18">
      <c r="A169" s="6" t="str">
        <f>"00023698"</f>
        <v>00023698</v>
      </c>
      <c r="B169" s="6" t="s">
        <v>190</v>
      </c>
      <c r="C169" s="6">
        <v>36</v>
      </c>
      <c r="D169" s="6">
        <v>338.64660082973</v>
      </c>
      <c r="E169" s="6">
        <v>309.40892056506999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4.8468796896999997</v>
      </c>
      <c r="P169" s="6">
        <v>4.8468796896999997</v>
      </c>
      <c r="Q169" s="6">
        <v>9.157</v>
      </c>
      <c r="R169" s="9">
        <f t="shared" si="2"/>
        <v>323.41280025476999</v>
      </c>
    </row>
    <row r="170" spans="1:18">
      <c r="A170" s="6" t="str">
        <f>"68378114"</f>
        <v>68378114</v>
      </c>
      <c r="B170" s="6" t="s">
        <v>191</v>
      </c>
      <c r="C170" s="6">
        <v>325</v>
      </c>
      <c r="D170" s="6">
        <v>3774.0027582055</v>
      </c>
      <c r="E170" s="6">
        <v>3578.5118683041001</v>
      </c>
      <c r="F170" s="6">
        <v>1</v>
      </c>
      <c r="G170" s="6">
        <v>1</v>
      </c>
      <c r="H170" s="6">
        <v>2000</v>
      </c>
      <c r="I170" s="6">
        <v>0.17391300000000001</v>
      </c>
      <c r="J170" s="6">
        <v>0</v>
      </c>
      <c r="K170" s="6">
        <v>495.05099999999999</v>
      </c>
      <c r="L170" s="6">
        <v>445.54599999999999</v>
      </c>
      <c r="M170" s="6">
        <v>0</v>
      </c>
      <c r="N170" s="6">
        <v>0</v>
      </c>
      <c r="O170" s="6">
        <v>58.735183412399998</v>
      </c>
      <c r="P170" s="6">
        <v>58.735183412399998</v>
      </c>
      <c r="Q170" s="6">
        <v>146.911</v>
      </c>
      <c r="R170" s="9">
        <f t="shared" si="2"/>
        <v>6229.7040517165005</v>
      </c>
    </row>
    <row r="171" spans="1:18">
      <c r="A171" s="6" t="str">
        <f>"68081731"</f>
        <v>68081731</v>
      </c>
      <c r="B171" s="6" t="s">
        <v>192</v>
      </c>
      <c r="C171" s="6">
        <v>333</v>
      </c>
      <c r="D171" s="6">
        <v>8018.6359868830996</v>
      </c>
      <c r="E171" s="6">
        <v>9393.4000366845994</v>
      </c>
      <c r="F171" s="6">
        <v>0</v>
      </c>
      <c r="G171" s="6">
        <v>0</v>
      </c>
      <c r="H171" s="6">
        <v>0</v>
      </c>
      <c r="I171" s="6">
        <v>5.6543299999999999</v>
      </c>
      <c r="J171" s="6">
        <v>3</v>
      </c>
      <c r="K171" s="6">
        <v>1609.64</v>
      </c>
      <c r="L171" s="6">
        <v>1762.42</v>
      </c>
      <c r="M171" s="6">
        <v>10</v>
      </c>
      <c r="N171" s="6">
        <v>10</v>
      </c>
      <c r="O171" s="6">
        <v>737.89141807179999</v>
      </c>
      <c r="P171" s="6">
        <v>747.89141807179999</v>
      </c>
      <c r="Q171" s="6">
        <v>2363.5300000000002</v>
      </c>
      <c r="R171" s="9">
        <f t="shared" si="2"/>
        <v>14267.2414547564</v>
      </c>
    </row>
    <row r="172" spans="1:18">
      <c r="A172" s="6" t="str">
        <f>"68378122"</f>
        <v>68378122</v>
      </c>
      <c r="B172" s="6" t="s">
        <v>193</v>
      </c>
      <c r="C172" s="6">
        <v>217</v>
      </c>
      <c r="D172" s="6">
        <v>1764.7939105867999</v>
      </c>
      <c r="E172" s="6">
        <v>1587.0082178166999</v>
      </c>
      <c r="F172" s="6">
        <v>0</v>
      </c>
      <c r="G172" s="6">
        <v>0</v>
      </c>
      <c r="H172" s="6">
        <v>0</v>
      </c>
      <c r="I172" s="6">
        <v>2</v>
      </c>
      <c r="J172" s="6">
        <v>0</v>
      </c>
      <c r="K172" s="6">
        <v>247.72</v>
      </c>
      <c r="L172" s="6">
        <v>222.94800000000001</v>
      </c>
      <c r="M172" s="6">
        <v>0</v>
      </c>
      <c r="N172" s="6"/>
      <c r="O172" s="6">
        <v>0</v>
      </c>
      <c r="P172" s="6">
        <v>0</v>
      </c>
      <c r="Q172" s="6">
        <v>0</v>
      </c>
      <c r="R172" s="9">
        <f t="shared" si="2"/>
        <v>1809.9562178167</v>
      </c>
    </row>
    <row r="173" spans="1:18">
      <c r="A173" s="6" t="str">
        <f>"67985891"</f>
        <v>67985891</v>
      </c>
      <c r="B173" s="6" t="s">
        <v>194</v>
      </c>
      <c r="C173" s="6">
        <v>282</v>
      </c>
      <c r="D173" s="6">
        <v>4786.4787099037003</v>
      </c>
      <c r="E173" s="6">
        <v>4808.2386542318</v>
      </c>
      <c r="F173" s="6">
        <v>0</v>
      </c>
      <c r="G173" s="6">
        <v>0</v>
      </c>
      <c r="H173" s="6">
        <v>0</v>
      </c>
      <c r="I173" s="6">
        <v>5.8333300000000001</v>
      </c>
      <c r="J173" s="6">
        <v>0</v>
      </c>
      <c r="K173" s="6">
        <v>757.49900000000002</v>
      </c>
      <c r="L173" s="6">
        <v>681.74900000000002</v>
      </c>
      <c r="M173" s="6">
        <v>90</v>
      </c>
      <c r="N173" s="6">
        <v>37.5</v>
      </c>
      <c r="O173" s="6">
        <v>140.00733483319999</v>
      </c>
      <c r="P173" s="6">
        <v>177.50733483319999</v>
      </c>
      <c r="Q173" s="6">
        <v>1513.9</v>
      </c>
      <c r="R173" s="9">
        <f t="shared" si="2"/>
        <v>7181.3949890650001</v>
      </c>
    </row>
    <row r="174" spans="1:18">
      <c r="A174" s="6" t="str">
        <f>"68378297"</f>
        <v>68378297</v>
      </c>
      <c r="B174" s="6" t="s">
        <v>195</v>
      </c>
      <c r="C174" s="6">
        <v>237</v>
      </c>
      <c r="D174" s="6">
        <v>3444.8203897416001</v>
      </c>
      <c r="E174" s="6">
        <v>3101.6444722442998</v>
      </c>
      <c r="F174" s="6">
        <v>0</v>
      </c>
      <c r="G174" s="6">
        <v>0</v>
      </c>
      <c r="H174" s="6">
        <v>0</v>
      </c>
      <c r="I174" s="6">
        <v>2.8</v>
      </c>
      <c r="J174" s="6">
        <v>0</v>
      </c>
      <c r="K174" s="6">
        <v>358.976</v>
      </c>
      <c r="L174" s="6">
        <v>323.07799999999997</v>
      </c>
      <c r="M174" s="6">
        <v>10</v>
      </c>
      <c r="N174" s="6">
        <v>10</v>
      </c>
      <c r="O174" s="6">
        <v>520.84528243260002</v>
      </c>
      <c r="P174" s="6">
        <v>530.84528243260002</v>
      </c>
      <c r="Q174" s="6">
        <v>1495.84</v>
      </c>
      <c r="R174" s="9">
        <f t="shared" si="2"/>
        <v>5451.4077546768995</v>
      </c>
    </row>
    <row r="175" spans="1:18">
      <c r="A175" s="6" t="str">
        <f>"67985556"</f>
        <v>67985556</v>
      </c>
      <c r="B175" s="6" t="s">
        <v>196</v>
      </c>
      <c r="C175" s="6">
        <v>612</v>
      </c>
      <c r="D175" s="6">
        <v>12535.173744374</v>
      </c>
      <c r="E175" s="6">
        <v>10780.213009368001</v>
      </c>
      <c r="F175" s="6">
        <v>0</v>
      </c>
      <c r="G175" s="6">
        <v>0</v>
      </c>
      <c r="H175" s="6">
        <v>0</v>
      </c>
      <c r="I175" s="6">
        <v>7.36</v>
      </c>
      <c r="J175" s="6">
        <v>1</v>
      </c>
      <c r="K175" s="6">
        <v>1524.81</v>
      </c>
      <c r="L175" s="6">
        <v>1453.79</v>
      </c>
      <c r="M175" s="6">
        <v>20</v>
      </c>
      <c r="N175" s="6">
        <v>5</v>
      </c>
      <c r="O175" s="6">
        <v>227.72154153790001</v>
      </c>
      <c r="P175" s="6">
        <v>232.72154153790001</v>
      </c>
      <c r="Q175" s="6">
        <v>1144.28</v>
      </c>
      <c r="R175" s="9">
        <f t="shared" si="2"/>
        <v>13611.0045509059</v>
      </c>
    </row>
    <row r="176" spans="1:18">
      <c r="A176" s="6" t="str">
        <f>"61388998"</f>
        <v>61388998</v>
      </c>
      <c r="B176" s="6" t="s">
        <v>197</v>
      </c>
      <c r="C176" s="6">
        <v>453</v>
      </c>
      <c r="D176" s="6">
        <v>9488.4406457507994</v>
      </c>
      <c r="E176" s="6">
        <v>11690.219619375999</v>
      </c>
      <c r="F176" s="6">
        <v>0</v>
      </c>
      <c r="G176" s="6">
        <v>0</v>
      </c>
      <c r="H176" s="6">
        <v>0</v>
      </c>
      <c r="I176" s="6">
        <v>10.8545</v>
      </c>
      <c r="J176" s="6">
        <v>1</v>
      </c>
      <c r="K176" s="6">
        <v>1266.72</v>
      </c>
      <c r="L176" s="6">
        <v>1174.81</v>
      </c>
      <c r="M176" s="6">
        <v>40</v>
      </c>
      <c r="N176" s="6">
        <v>13</v>
      </c>
      <c r="O176" s="6">
        <v>355.0697264643</v>
      </c>
      <c r="P176" s="6">
        <v>368.0697264643</v>
      </c>
      <c r="Q176" s="6">
        <v>791.39499999999998</v>
      </c>
      <c r="R176" s="9">
        <f t="shared" si="2"/>
        <v>14024.4943458403</v>
      </c>
    </row>
    <row r="177" spans="1:18">
      <c r="A177" s="6" t="str">
        <f>"00027251"</f>
        <v>00027251</v>
      </c>
      <c r="B177" s="6" t="s">
        <v>198</v>
      </c>
      <c r="C177" s="6">
        <v>87</v>
      </c>
      <c r="D177" s="6">
        <v>844.64896509334005</v>
      </c>
      <c r="E177" s="6">
        <v>662.76096213758001</v>
      </c>
      <c r="F177" s="6">
        <v>0</v>
      </c>
      <c r="G177" s="6">
        <v>0</v>
      </c>
      <c r="H177" s="6">
        <v>0</v>
      </c>
      <c r="I177" s="6">
        <v>1</v>
      </c>
      <c r="J177" s="6">
        <v>0</v>
      </c>
      <c r="K177" s="6">
        <v>230.91300000000001</v>
      </c>
      <c r="L177" s="6">
        <v>207.822</v>
      </c>
      <c r="M177" s="6">
        <v>0</v>
      </c>
      <c r="N177" s="6">
        <v>0</v>
      </c>
      <c r="O177" s="6">
        <v>21.044047260199999</v>
      </c>
      <c r="P177" s="6">
        <v>21.044047260199999</v>
      </c>
      <c r="Q177" s="6">
        <v>682.22900000000004</v>
      </c>
      <c r="R177" s="9">
        <f t="shared" si="2"/>
        <v>1573.8560093977801</v>
      </c>
    </row>
    <row r="178" spans="1:18">
      <c r="A178" s="6" t="str">
        <f>"67985904"</f>
        <v>67985904</v>
      </c>
      <c r="B178" s="6" t="s">
        <v>199</v>
      </c>
      <c r="C178" s="6">
        <v>295</v>
      </c>
      <c r="D178" s="6">
        <v>5060.3912540145002</v>
      </c>
      <c r="E178" s="6">
        <v>5251.576842855</v>
      </c>
      <c r="F178" s="6">
        <v>0</v>
      </c>
      <c r="G178" s="6">
        <v>0</v>
      </c>
      <c r="H178" s="6">
        <v>0</v>
      </c>
      <c r="I178" s="6">
        <v>0.30681799999999998</v>
      </c>
      <c r="J178" s="6">
        <v>0</v>
      </c>
      <c r="K178" s="6">
        <v>788.16200000000003</v>
      </c>
      <c r="L178" s="6">
        <v>709.346</v>
      </c>
      <c r="M178" s="6">
        <v>0</v>
      </c>
      <c r="N178" s="6">
        <v>0</v>
      </c>
      <c r="O178" s="6">
        <v>156.22495337300001</v>
      </c>
      <c r="P178" s="6">
        <v>156.22495337300001</v>
      </c>
      <c r="Q178" s="6">
        <v>307.90699999999998</v>
      </c>
      <c r="R178" s="9">
        <f t="shared" si="2"/>
        <v>6425.0547962279998</v>
      </c>
    </row>
    <row r="179" spans="1:18">
      <c r="A179" s="6" t="str">
        <f>"61383082"</f>
        <v>61383082</v>
      </c>
      <c r="B179" s="6" t="s">
        <v>200</v>
      </c>
      <c r="C179" s="6">
        <v>249</v>
      </c>
      <c r="D179" s="6">
        <v>2255.8170947789999</v>
      </c>
      <c r="E179" s="6">
        <v>2059.3385043705998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487.85786918600002</v>
      </c>
      <c r="P179" s="6">
        <v>487.85786918600002</v>
      </c>
      <c r="Q179" s="6">
        <v>1153.3599999999999</v>
      </c>
      <c r="R179" s="9">
        <f t="shared" si="2"/>
        <v>3700.5563735565993</v>
      </c>
    </row>
    <row r="180" spans="1:18">
      <c r="A180" s="6" t="str">
        <f>"00098604"</f>
        <v>00098604</v>
      </c>
      <c r="B180" s="6" t="s">
        <v>201</v>
      </c>
      <c r="C180" s="6">
        <v>2</v>
      </c>
      <c r="D180" s="6">
        <v>60</v>
      </c>
      <c r="E180" s="6">
        <v>64.797002792358001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/>
      <c r="O180" s="6">
        <v>0</v>
      </c>
      <c r="P180" s="6">
        <v>0</v>
      </c>
      <c r="Q180" s="6">
        <v>0</v>
      </c>
      <c r="R180" s="9">
        <f t="shared" si="2"/>
        <v>64.797002792358001</v>
      </c>
    </row>
    <row r="181" spans="1:18">
      <c r="A181" s="6" t="str">
        <f>"62157124"</f>
        <v>62157124</v>
      </c>
      <c r="B181" s="6" t="s">
        <v>202</v>
      </c>
      <c r="C181" s="6">
        <v>1494</v>
      </c>
      <c r="D181" s="6">
        <v>19373.096217216</v>
      </c>
      <c r="E181" s="6">
        <v>19408.232310852</v>
      </c>
      <c r="F181" s="6">
        <v>0</v>
      </c>
      <c r="G181" s="6">
        <v>0</v>
      </c>
      <c r="H181" s="6">
        <v>0</v>
      </c>
      <c r="I181" s="6">
        <v>4.6446300000000003</v>
      </c>
      <c r="J181" s="6">
        <v>0</v>
      </c>
      <c r="K181" s="6">
        <v>2112.7199999999998</v>
      </c>
      <c r="L181" s="6">
        <v>1901.45</v>
      </c>
      <c r="M181" s="6">
        <v>10</v>
      </c>
      <c r="N181" s="6">
        <v>10</v>
      </c>
      <c r="O181" s="6">
        <v>178.00523552269999</v>
      </c>
      <c r="P181" s="6">
        <v>188.00523552269999</v>
      </c>
      <c r="Q181" s="6">
        <v>584.45600000000002</v>
      </c>
      <c r="R181" s="9">
        <f t="shared" si="2"/>
        <v>22082.1435463747</v>
      </c>
    </row>
    <row r="182" spans="1:18">
      <c r="A182" s="6" t="str">
        <f>"28594771"</f>
        <v>28594771</v>
      </c>
      <c r="B182" s="6" t="s">
        <v>203</v>
      </c>
      <c r="C182" s="6">
        <v>2</v>
      </c>
      <c r="D182" s="6">
        <v>31.125</v>
      </c>
      <c r="E182" s="6">
        <v>26.805000305176002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186.98321098170001</v>
      </c>
      <c r="P182" s="6">
        <v>186.98321098170001</v>
      </c>
      <c r="Q182" s="6">
        <v>143.072</v>
      </c>
      <c r="R182" s="9">
        <f t="shared" si="2"/>
        <v>356.86021128687605</v>
      </c>
    </row>
    <row r="183" spans="1:18">
      <c r="A183" s="6" t="str">
        <f>"29372259"</f>
        <v>29372259</v>
      </c>
      <c r="B183" s="6" t="s">
        <v>204</v>
      </c>
      <c r="C183" s="6">
        <v>1</v>
      </c>
      <c r="D183" s="6">
        <v>7.4857142857144003</v>
      </c>
      <c r="E183" s="6">
        <v>2.7072831415505001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1560.2657897217</v>
      </c>
      <c r="P183" s="6">
        <v>1560.2657897217</v>
      </c>
      <c r="Q183" s="6">
        <v>1482.1</v>
      </c>
      <c r="R183" s="9">
        <f t="shared" si="2"/>
        <v>3045.0730728632507</v>
      </c>
    </row>
    <row r="184" spans="1:18">
      <c r="A184" s="6" t="str">
        <f>"00064165"</f>
        <v>00064165</v>
      </c>
      <c r="B184" s="6" t="s">
        <v>205</v>
      </c>
      <c r="C184" s="6">
        <v>2544</v>
      </c>
      <c r="D184" s="6">
        <v>17928.359264270999</v>
      </c>
      <c r="E184" s="6">
        <v>17091.464034051001</v>
      </c>
      <c r="F184" s="6">
        <v>0</v>
      </c>
      <c r="G184" s="6">
        <v>0</v>
      </c>
      <c r="H184" s="6">
        <v>0</v>
      </c>
      <c r="I184" s="6">
        <v>16.271599999999999</v>
      </c>
      <c r="J184" s="6">
        <v>3</v>
      </c>
      <c r="K184" s="6">
        <v>3057.63</v>
      </c>
      <c r="L184" s="6">
        <v>2816.8</v>
      </c>
      <c r="M184" s="6">
        <v>0</v>
      </c>
      <c r="N184" s="6">
        <v>0</v>
      </c>
      <c r="O184" s="6">
        <v>1762.4645217545001</v>
      </c>
      <c r="P184" s="6">
        <v>1762.4645217545001</v>
      </c>
      <c r="Q184" s="6">
        <v>3359.94</v>
      </c>
      <c r="R184" s="9">
        <f t="shared" si="2"/>
        <v>25030.6685558055</v>
      </c>
    </row>
    <row r="185" spans="1:18">
      <c r="A185" s="6" t="str">
        <f>"46709002"</f>
        <v>46709002</v>
      </c>
      <c r="B185" s="6" t="s">
        <v>206</v>
      </c>
      <c r="C185" s="6">
        <v>43</v>
      </c>
      <c r="D185" s="6">
        <v>198.18663790798999</v>
      </c>
      <c r="E185" s="6">
        <v>182.65048143761999</v>
      </c>
      <c r="F185" s="6">
        <v>0</v>
      </c>
      <c r="G185" s="6">
        <v>0</v>
      </c>
      <c r="H185" s="6">
        <v>0</v>
      </c>
      <c r="I185" s="6">
        <v>1.75</v>
      </c>
      <c r="J185" s="6">
        <v>0</v>
      </c>
      <c r="K185" s="6">
        <v>629.01900000000001</v>
      </c>
      <c r="L185" s="6">
        <v>566.11699999999996</v>
      </c>
      <c r="M185" s="6">
        <v>470</v>
      </c>
      <c r="N185" s="6">
        <v>260</v>
      </c>
      <c r="O185" s="6">
        <v>927.98317636490003</v>
      </c>
      <c r="P185" s="6">
        <v>1187.9831763648999</v>
      </c>
      <c r="Q185" s="6">
        <v>5653.6</v>
      </c>
      <c r="R185" s="9">
        <f t="shared" si="2"/>
        <v>7590.3506578025208</v>
      </c>
    </row>
    <row r="186" spans="1:18">
      <c r="A186" s="6" t="str">
        <f>"61989100"</f>
        <v>61989100</v>
      </c>
      <c r="B186" s="6" t="s">
        <v>207</v>
      </c>
      <c r="C186" s="6">
        <v>7089</v>
      </c>
      <c r="D186" s="6">
        <v>77703.267979284996</v>
      </c>
      <c r="E186" s="6">
        <v>63888.605136801001</v>
      </c>
      <c r="F186" s="6">
        <v>0</v>
      </c>
      <c r="G186" s="6">
        <v>0</v>
      </c>
      <c r="H186" s="6">
        <v>0</v>
      </c>
      <c r="I186" s="6">
        <v>17.134399999999999</v>
      </c>
      <c r="J186" s="6">
        <v>4</v>
      </c>
      <c r="K186" s="6">
        <v>8601.2199999999993</v>
      </c>
      <c r="L186" s="6">
        <v>8518.65</v>
      </c>
      <c r="M186" s="6">
        <v>740</v>
      </c>
      <c r="N186" s="6">
        <v>413.29999923705998</v>
      </c>
      <c r="O186" s="6">
        <v>3036.2531355566998</v>
      </c>
      <c r="P186" s="6">
        <v>3449.5531347936999</v>
      </c>
      <c r="Q186" s="6">
        <v>24233</v>
      </c>
      <c r="R186" s="9">
        <f t="shared" si="2"/>
        <v>100089.80827159471</v>
      </c>
    </row>
    <row r="187" spans="1:18">
      <c r="A187" s="6" t="str">
        <f>"61384399"</f>
        <v>61384399</v>
      </c>
      <c r="B187" s="6" t="s">
        <v>208</v>
      </c>
      <c r="C187" s="6">
        <v>3219</v>
      </c>
      <c r="D187" s="6">
        <v>29890.932516977999</v>
      </c>
      <c r="E187" s="6">
        <v>22950.887278220998</v>
      </c>
      <c r="F187" s="6">
        <v>0</v>
      </c>
      <c r="G187" s="6">
        <v>0</v>
      </c>
      <c r="H187" s="6">
        <v>0</v>
      </c>
      <c r="I187" s="6">
        <v>7.8</v>
      </c>
      <c r="J187" s="6">
        <v>1</v>
      </c>
      <c r="K187" s="6">
        <v>2577.5300000000002</v>
      </c>
      <c r="L187" s="6">
        <v>2418.21</v>
      </c>
      <c r="M187" s="6">
        <v>0</v>
      </c>
      <c r="N187" s="6">
        <v>0</v>
      </c>
      <c r="O187" s="6">
        <v>273.47035953699998</v>
      </c>
      <c r="P187" s="6">
        <v>273.47035953699998</v>
      </c>
      <c r="Q187" s="6">
        <v>879.36</v>
      </c>
      <c r="R187" s="9">
        <f t="shared" si="2"/>
        <v>26521.927637757999</v>
      </c>
    </row>
    <row r="188" spans="1:18">
      <c r="A188" s="6" t="str">
        <f>"27266150"</f>
        <v>27266150</v>
      </c>
      <c r="B188" s="6" t="s">
        <v>209</v>
      </c>
      <c r="C188" s="6">
        <v>28</v>
      </c>
      <c r="D188" s="6">
        <v>175.71642071881001</v>
      </c>
      <c r="E188" s="6">
        <v>92.061997883949005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/>
      <c r="O188" s="6">
        <v>0</v>
      </c>
      <c r="P188" s="6">
        <v>0</v>
      </c>
      <c r="Q188" s="6">
        <v>0</v>
      </c>
      <c r="R188" s="9">
        <f t="shared" si="2"/>
        <v>92.061997883949005</v>
      </c>
    </row>
    <row r="189" spans="1:18">
      <c r="A189" s="6" t="str">
        <f>"26033909"</f>
        <v>26033909</v>
      </c>
      <c r="B189" s="6" t="s">
        <v>210</v>
      </c>
      <c r="C189" s="6">
        <v>22</v>
      </c>
      <c r="D189" s="6">
        <v>580.47609116911997</v>
      </c>
      <c r="E189" s="6">
        <v>444.05542334498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/>
      <c r="O189" s="6">
        <v>0</v>
      </c>
      <c r="P189" s="6">
        <v>0</v>
      </c>
      <c r="Q189" s="6">
        <v>0</v>
      </c>
      <c r="R189" s="9">
        <f t="shared" si="2"/>
        <v>444.05542334498</v>
      </c>
    </row>
    <row r="190" spans="1:18">
      <c r="A190" s="10" t="s">
        <v>244</v>
      </c>
      <c r="B190" s="6" t="s">
        <v>211</v>
      </c>
      <c r="C190" s="6">
        <v>175</v>
      </c>
      <c r="D190" s="6">
        <v>1630.0220245221999</v>
      </c>
      <c r="E190" s="6">
        <v>1261.6318364398001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29.797062058400002</v>
      </c>
      <c r="P190" s="6">
        <v>29.797062058400002</v>
      </c>
      <c r="Q190" s="6">
        <v>46.063000000000002</v>
      </c>
      <c r="R190" s="9">
        <f t="shared" si="2"/>
        <v>1337.4918984982</v>
      </c>
    </row>
    <row r="191" spans="1:18">
      <c r="A191" s="6" t="str">
        <f>"25619161"</f>
        <v>25619161</v>
      </c>
      <c r="B191" s="6" t="s">
        <v>212</v>
      </c>
      <c r="C191" s="6">
        <v>38</v>
      </c>
      <c r="D191" s="6">
        <v>339.53699961305</v>
      </c>
      <c r="E191" s="6">
        <v>229.77636239809999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/>
      <c r="O191" s="6">
        <v>0</v>
      </c>
      <c r="P191" s="6">
        <v>0</v>
      </c>
      <c r="Q191" s="6">
        <v>0</v>
      </c>
      <c r="R191" s="9">
        <f t="shared" si="2"/>
        <v>229.77636239809999</v>
      </c>
    </row>
    <row r="192" spans="1:18">
      <c r="A192" s="6" t="str">
        <f>"60461373"</f>
        <v>60461373</v>
      </c>
      <c r="B192" s="6" t="s">
        <v>213</v>
      </c>
      <c r="C192" s="6">
        <v>3186</v>
      </c>
      <c r="D192" s="6">
        <v>69163.189176347005</v>
      </c>
      <c r="E192" s="6">
        <v>77653.663386854998</v>
      </c>
      <c r="F192" s="6">
        <v>0</v>
      </c>
      <c r="G192" s="6">
        <v>0</v>
      </c>
      <c r="H192" s="6">
        <v>0</v>
      </c>
      <c r="I192" s="6">
        <v>21.131799999999998</v>
      </c>
      <c r="J192" s="6">
        <v>7</v>
      </c>
      <c r="K192" s="6">
        <v>9889.2099999999991</v>
      </c>
      <c r="L192" s="6">
        <v>10525.7</v>
      </c>
      <c r="M192" s="6">
        <v>240</v>
      </c>
      <c r="N192" s="6">
        <v>161.17000007628999</v>
      </c>
      <c r="O192" s="6">
        <v>2536.5746061993</v>
      </c>
      <c r="P192" s="6">
        <v>2697.7446062755998</v>
      </c>
      <c r="Q192" s="6">
        <v>10725.1</v>
      </c>
      <c r="R192" s="9">
        <f t="shared" si="2"/>
        <v>101602.20799313061</v>
      </c>
    </row>
    <row r="193" spans="1:18">
      <c r="A193" s="6" t="str">
        <f>"71226401"</f>
        <v>71226401</v>
      </c>
      <c r="B193" s="6" t="s">
        <v>214</v>
      </c>
      <c r="C193" s="6">
        <v>98</v>
      </c>
      <c r="D193" s="6">
        <v>844.26862707517</v>
      </c>
      <c r="E193" s="6">
        <v>639.76009212779002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/>
      <c r="O193" s="6">
        <v>0</v>
      </c>
      <c r="P193" s="6">
        <v>0</v>
      </c>
      <c r="Q193" s="6">
        <v>0</v>
      </c>
      <c r="R193" s="9">
        <f t="shared" si="2"/>
        <v>639.76009212779002</v>
      </c>
    </row>
    <row r="194" spans="1:18">
      <c r="A194" s="6" t="str">
        <f>"75081431"</f>
        <v>75081431</v>
      </c>
      <c r="B194" s="6" t="s">
        <v>215</v>
      </c>
      <c r="C194" s="6">
        <v>101</v>
      </c>
      <c r="D194" s="6">
        <v>1104.7425839122</v>
      </c>
      <c r="E194" s="6">
        <v>806.20213541239002</v>
      </c>
      <c r="F194" s="6">
        <v>0</v>
      </c>
      <c r="G194" s="6">
        <v>0</v>
      </c>
      <c r="H194" s="6">
        <v>0</v>
      </c>
      <c r="I194" s="6">
        <v>1</v>
      </c>
      <c r="J194" s="6">
        <v>0</v>
      </c>
      <c r="K194" s="6">
        <v>113.387</v>
      </c>
      <c r="L194" s="6">
        <v>102.048</v>
      </c>
      <c r="M194" s="6">
        <v>150</v>
      </c>
      <c r="N194" s="6">
        <v>150</v>
      </c>
      <c r="O194" s="6">
        <v>13.415835765500001</v>
      </c>
      <c r="P194" s="6">
        <v>163.41583576549999</v>
      </c>
      <c r="Q194" s="6">
        <v>166.53100000000001</v>
      </c>
      <c r="R194" s="9">
        <f t="shared" si="2"/>
        <v>1238.19697117789</v>
      </c>
    </row>
    <row r="195" spans="1:18">
      <c r="A195" s="6" t="str">
        <f>"27132781"</f>
        <v>27132781</v>
      </c>
      <c r="B195" s="6" t="s">
        <v>216</v>
      </c>
      <c r="C195" s="6">
        <v>18</v>
      </c>
      <c r="D195" s="6">
        <v>127.29682395303</v>
      </c>
      <c r="E195" s="6">
        <v>109.39373961587999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/>
      <c r="O195" s="6">
        <v>0</v>
      </c>
      <c r="P195" s="6">
        <v>0</v>
      </c>
      <c r="Q195" s="6">
        <v>0</v>
      </c>
      <c r="R195" s="9">
        <f t="shared" si="2"/>
        <v>109.39373961587999</v>
      </c>
    </row>
    <row r="196" spans="1:18">
      <c r="A196" s="6" t="str">
        <f>"60461071"</f>
        <v>60461071</v>
      </c>
      <c r="B196" s="6" t="s">
        <v>217</v>
      </c>
      <c r="C196" s="6">
        <v>110</v>
      </c>
      <c r="D196" s="6">
        <v>1832.4081453567001</v>
      </c>
      <c r="E196" s="6">
        <v>1576.9487158891</v>
      </c>
      <c r="F196" s="6">
        <v>0</v>
      </c>
      <c r="G196" s="6">
        <v>0</v>
      </c>
      <c r="H196" s="6">
        <v>0</v>
      </c>
      <c r="I196" s="6">
        <v>1</v>
      </c>
      <c r="J196" s="6">
        <v>1</v>
      </c>
      <c r="K196" s="6">
        <v>136.74700000000001</v>
      </c>
      <c r="L196" s="6">
        <v>204.53899999999999</v>
      </c>
      <c r="M196" s="6">
        <v>0</v>
      </c>
      <c r="N196" s="6">
        <v>0</v>
      </c>
      <c r="O196" s="6">
        <v>94.422124587400006</v>
      </c>
      <c r="P196" s="6">
        <v>94.422124587400006</v>
      </c>
      <c r="Q196" s="6">
        <v>214.29499999999999</v>
      </c>
      <c r="R196" s="9">
        <f t="shared" si="2"/>
        <v>2090.2048404765001</v>
      </c>
    </row>
    <row r="197" spans="1:18">
      <c r="A197" s="6" t="str">
        <f>"00216305"</f>
        <v>00216305</v>
      </c>
      <c r="B197" s="6" t="s">
        <v>218</v>
      </c>
      <c r="C197" s="6">
        <v>5757</v>
      </c>
      <c r="D197" s="6">
        <v>87725.062952708002</v>
      </c>
      <c r="E197" s="6">
        <v>86269.705413980002</v>
      </c>
      <c r="F197" s="6">
        <v>0</v>
      </c>
      <c r="G197" s="6">
        <v>0</v>
      </c>
      <c r="H197" s="6">
        <v>0</v>
      </c>
      <c r="I197" s="6">
        <v>24.781199999999998</v>
      </c>
      <c r="J197" s="6">
        <v>1</v>
      </c>
      <c r="K197" s="6">
        <v>16590.599999999999</v>
      </c>
      <c r="L197" s="6">
        <v>15330.4</v>
      </c>
      <c r="M197" s="6">
        <v>460</v>
      </c>
      <c r="N197" s="6">
        <v>460</v>
      </c>
      <c r="O197" s="6">
        <v>6381.1522975966</v>
      </c>
      <c r="P197" s="6">
        <v>6841.1522975966</v>
      </c>
      <c r="Q197" s="6">
        <v>48993.7</v>
      </c>
      <c r="R197" s="9">
        <f t="shared" ref="R197:R222" si="3">E197+H197+L197+P197+Q197</f>
        <v>157434.9577115766</v>
      </c>
    </row>
    <row r="198" spans="1:18">
      <c r="A198" s="6" t="str">
        <f>"27184145"</f>
        <v>27184145</v>
      </c>
      <c r="B198" s="6" t="s">
        <v>219</v>
      </c>
      <c r="C198" s="6">
        <v>20</v>
      </c>
      <c r="D198" s="6">
        <v>151.61047114822</v>
      </c>
      <c r="E198" s="6">
        <v>161.22859361350999</v>
      </c>
      <c r="F198" s="6">
        <v>0</v>
      </c>
      <c r="G198" s="6">
        <v>0</v>
      </c>
      <c r="H198" s="6">
        <v>0</v>
      </c>
      <c r="I198" s="6">
        <v>1</v>
      </c>
      <c r="J198" s="6">
        <v>0</v>
      </c>
      <c r="K198" s="6">
        <v>110.621</v>
      </c>
      <c r="L198" s="6">
        <v>99.558899999999994</v>
      </c>
      <c r="M198" s="6">
        <v>625</v>
      </c>
      <c r="N198" s="6">
        <v>625</v>
      </c>
      <c r="O198" s="6">
        <v>37.016254170099998</v>
      </c>
      <c r="P198" s="6">
        <v>662.01625417009996</v>
      </c>
      <c r="Q198" s="6">
        <v>665.17899999999997</v>
      </c>
      <c r="R198" s="9">
        <f t="shared" si="3"/>
        <v>1587.9827477836097</v>
      </c>
    </row>
    <row r="199" spans="1:18">
      <c r="A199" s="6" t="str">
        <f>"25271121"</f>
        <v>25271121</v>
      </c>
      <c r="B199" s="6" t="s">
        <v>220</v>
      </c>
      <c r="C199" s="6">
        <v>115</v>
      </c>
      <c r="D199" s="6">
        <v>1211.3041841264001</v>
      </c>
      <c r="E199" s="6">
        <v>1203.6093161204999</v>
      </c>
      <c r="F199" s="6">
        <v>0</v>
      </c>
      <c r="G199" s="6">
        <v>0</v>
      </c>
      <c r="H199" s="6">
        <v>0</v>
      </c>
      <c r="I199" s="6">
        <v>1</v>
      </c>
      <c r="J199" s="6">
        <v>0</v>
      </c>
      <c r="K199" s="6">
        <v>323.90699999999998</v>
      </c>
      <c r="L199" s="6">
        <v>291.51600000000002</v>
      </c>
      <c r="M199" s="6">
        <v>125</v>
      </c>
      <c r="N199" s="6">
        <v>125</v>
      </c>
      <c r="O199" s="6">
        <v>248.7860397673</v>
      </c>
      <c r="P199" s="6">
        <v>373.7860397673</v>
      </c>
      <c r="Q199" s="6">
        <v>1362.65</v>
      </c>
      <c r="R199" s="9">
        <f t="shared" si="3"/>
        <v>3231.5613558878003</v>
      </c>
    </row>
    <row r="200" spans="1:18">
      <c r="A200" s="6" t="str">
        <f>"00010669"</f>
        <v>00010669</v>
      </c>
      <c r="B200" s="6" t="s">
        <v>221</v>
      </c>
      <c r="C200" s="6">
        <v>100</v>
      </c>
      <c r="D200" s="6">
        <v>1031.8828356107999</v>
      </c>
      <c r="E200" s="6">
        <v>1011.7373580249</v>
      </c>
      <c r="F200" s="6">
        <v>0</v>
      </c>
      <c r="G200" s="6">
        <v>0</v>
      </c>
      <c r="H200" s="6">
        <v>0</v>
      </c>
      <c r="I200" s="6">
        <v>2.3714300000000001</v>
      </c>
      <c r="J200" s="6">
        <v>0</v>
      </c>
      <c r="K200" s="6">
        <v>1106.6099999999999</v>
      </c>
      <c r="L200" s="6">
        <v>995.94899999999996</v>
      </c>
      <c r="M200" s="6">
        <v>0</v>
      </c>
      <c r="N200" s="6">
        <v>0</v>
      </c>
      <c r="O200" s="6">
        <v>1352.3816882639001</v>
      </c>
      <c r="P200" s="6">
        <v>1352.3816882639001</v>
      </c>
      <c r="Q200" s="6">
        <v>9033.4</v>
      </c>
      <c r="R200" s="9">
        <f t="shared" si="3"/>
        <v>12393.468046288799</v>
      </c>
    </row>
    <row r="201" spans="1:18">
      <c r="A201" s="6" t="str">
        <f>"47718684"</f>
        <v>47718684</v>
      </c>
      <c r="B201" s="6" t="s">
        <v>222</v>
      </c>
      <c r="C201" s="6">
        <v>61</v>
      </c>
      <c r="D201" s="6">
        <v>763.48022516799995</v>
      </c>
      <c r="E201" s="6">
        <v>724.69382575727002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347.19799999999998</v>
      </c>
      <c r="L201" s="6">
        <v>312.47800000000001</v>
      </c>
      <c r="M201" s="6">
        <v>0</v>
      </c>
      <c r="N201" s="6">
        <v>0</v>
      </c>
      <c r="O201" s="6">
        <v>381.63553539639997</v>
      </c>
      <c r="P201" s="6">
        <v>381.63553539639997</v>
      </c>
      <c r="Q201" s="6">
        <v>2308.59</v>
      </c>
      <c r="R201" s="9">
        <f t="shared" si="3"/>
        <v>3727.3973611536703</v>
      </c>
    </row>
    <row r="202" spans="1:18">
      <c r="A202" s="6" t="str">
        <f>"00025950"</f>
        <v>00025950</v>
      </c>
      <c r="B202" s="6" t="s">
        <v>223</v>
      </c>
      <c r="C202" s="6">
        <v>23</v>
      </c>
      <c r="D202" s="6">
        <v>243.94190010299999</v>
      </c>
      <c r="E202" s="6">
        <v>259.08866234019001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95.342399999999998</v>
      </c>
      <c r="L202" s="6">
        <v>85.808199999999999</v>
      </c>
      <c r="M202" s="6">
        <v>0</v>
      </c>
      <c r="N202" s="6">
        <v>0</v>
      </c>
      <c r="O202" s="6">
        <v>24.377555232399999</v>
      </c>
      <c r="P202" s="6">
        <v>24.377555232399999</v>
      </c>
      <c r="Q202" s="6">
        <v>182.70099999999999</v>
      </c>
      <c r="R202" s="9">
        <f t="shared" si="3"/>
        <v>551.97541757259</v>
      </c>
    </row>
    <row r="203" spans="1:18">
      <c r="A203" s="6" t="str">
        <f>"60109807"</f>
        <v>60109807</v>
      </c>
      <c r="B203" s="6" t="s">
        <v>224</v>
      </c>
      <c r="C203" s="6">
        <v>46</v>
      </c>
      <c r="D203" s="6">
        <v>298.24374868182002</v>
      </c>
      <c r="E203" s="6">
        <v>325.36922909428</v>
      </c>
      <c r="F203" s="6">
        <v>0</v>
      </c>
      <c r="G203" s="6">
        <v>0</v>
      </c>
      <c r="H203" s="6">
        <v>0</v>
      </c>
      <c r="I203" s="6">
        <v>1</v>
      </c>
      <c r="J203" s="6">
        <v>1</v>
      </c>
      <c r="K203" s="6">
        <v>256.59899999999999</v>
      </c>
      <c r="L203" s="6">
        <v>383.80700000000002</v>
      </c>
      <c r="M203" s="6">
        <v>125</v>
      </c>
      <c r="N203" s="6">
        <v>125</v>
      </c>
      <c r="O203" s="6">
        <v>164.83481138709999</v>
      </c>
      <c r="P203" s="6">
        <v>289.83481138709999</v>
      </c>
      <c r="Q203" s="6">
        <v>1351.58</v>
      </c>
      <c r="R203" s="9">
        <f t="shared" si="3"/>
        <v>2350.5910404813799</v>
      </c>
    </row>
    <row r="204" spans="1:18">
      <c r="A204" s="6" t="str">
        <f>"00025615"</f>
        <v>00025615</v>
      </c>
      <c r="B204" s="6" t="s">
        <v>225</v>
      </c>
      <c r="C204" s="6">
        <v>58</v>
      </c>
      <c r="D204" s="6">
        <v>862.05933406827</v>
      </c>
      <c r="E204" s="6">
        <v>815.09769184202003</v>
      </c>
      <c r="F204" s="6">
        <v>0</v>
      </c>
      <c r="G204" s="6">
        <v>0</v>
      </c>
      <c r="H204" s="6">
        <v>0</v>
      </c>
      <c r="I204" s="6">
        <v>1</v>
      </c>
      <c r="J204" s="6">
        <v>0</v>
      </c>
      <c r="K204" s="6">
        <v>703.91200000000003</v>
      </c>
      <c r="L204" s="6">
        <v>633.52099999999996</v>
      </c>
      <c r="M204" s="6">
        <v>0</v>
      </c>
      <c r="N204" s="6">
        <v>0</v>
      </c>
      <c r="O204" s="6">
        <v>248.70423589070001</v>
      </c>
      <c r="P204" s="6">
        <v>248.70423589070001</v>
      </c>
      <c r="Q204" s="6">
        <v>2123.06</v>
      </c>
      <c r="R204" s="9">
        <f t="shared" si="3"/>
        <v>3820.3829277327195</v>
      </c>
    </row>
    <row r="205" spans="1:18">
      <c r="A205" s="6" t="str">
        <f>"00020702"</f>
        <v>00020702</v>
      </c>
      <c r="B205" s="6" t="s">
        <v>226</v>
      </c>
      <c r="C205" s="6">
        <v>230</v>
      </c>
      <c r="D205" s="6">
        <v>2968.7245437076999</v>
      </c>
      <c r="E205" s="6">
        <v>3062.097573943</v>
      </c>
      <c r="F205" s="6">
        <v>0</v>
      </c>
      <c r="G205" s="6">
        <v>0</v>
      </c>
      <c r="H205" s="6">
        <v>0</v>
      </c>
      <c r="I205" s="6">
        <v>2</v>
      </c>
      <c r="J205" s="6">
        <v>0</v>
      </c>
      <c r="K205" s="6">
        <v>470.77699999999999</v>
      </c>
      <c r="L205" s="6">
        <v>423.69900000000001</v>
      </c>
      <c r="M205" s="6">
        <v>0</v>
      </c>
      <c r="N205" s="6">
        <v>0</v>
      </c>
      <c r="O205" s="6">
        <v>456.52698444100002</v>
      </c>
      <c r="P205" s="6">
        <v>456.52698444100002</v>
      </c>
      <c r="Q205" s="6">
        <v>1460.29</v>
      </c>
      <c r="R205" s="9">
        <f t="shared" si="3"/>
        <v>5402.6135583840005</v>
      </c>
    </row>
    <row r="206" spans="1:18">
      <c r="A206" s="6" t="str">
        <f>"00027049"</f>
        <v>00027049</v>
      </c>
      <c r="B206" s="6" t="s">
        <v>227</v>
      </c>
      <c r="C206" s="6">
        <v>89</v>
      </c>
      <c r="D206" s="6">
        <v>856.24147436058001</v>
      </c>
      <c r="E206" s="6">
        <v>851.83619392246999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20</v>
      </c>
      <c r="N206" s="6">
        <v>20</v>
      </c>
      <c r="O206" s="6">
        <v>454.76820109369999</v>
      </c>
      <c r="P206" s="6">
        <v>474.76820109369999</v>
      </c>
      <c r="Q206" s="6">
        <v>1526.74</v>
      </c>
      <c r="R206" s="9">
        <f t="shared" si="3"/>
        <v>2853.34439501617</v>
      </c>
    </row>
    <row r="207" spans="1:18">
      <c r="A207" s="6" t="str">
        <f>"26722861"</f>
        <v>26722861</v>
      </c>
      <c r="B207" s="6" t="s">
        <v>228</v>
      </c>
      <c r="C207" s="6">
        <v>64</v>
      </c>
      <c r="D207" s="6">
        <v>452.81618384300998</v>
      </c>
      <c r="E207" s="6">
        <v>433.81761264979002</v>
      </c>
      <c r="F207" s="6">
        <v>0</v>
      </c>
      <c r="G207" s="6">
        <v>0</v>
      </c>
      <c r="H207" s="6">
        <v>0</v>
      </c>
      <c r="I207" s="6">
        <v>0.66666700000000001</v>
      </c>
      <c r="J207" s="6">
        <v>0</v>
      </c>
      <c r="K207" s="6">
        <v>228.577</v>
      </c>
      <c r="L207" s="6">
        <v>205.71899999999999</v>
      </c>
      <c r="M207" s="6">
        <v>50</v>
      </c>
      <c r="N207" s="6">
        <v>8.3000001907349006</v>
      </c>
      <c r="O207" s="6">
        <v>351.81802236879997</v>
      </c>
      <c r="P207" s="6">
        <v>360.11802255949999</v>
      </c>
      <c r="Q207" s="6">
        <v>1703.65</v>
      </c>
      <c r="R207" s="9">
        <f t="shared" si="3"/>
        <v>2703.3046352092902</v>
      </c>
    </row>
    <row r="208" spans="1:18">
      <c r="A208" s="6" t="str">
        <f>"60193697"</f>
        <v>60193697</v>
      </c>
      <c r="B208" s="6" t="s">
        <v>229</v>
      </c>
      <c r="C208" s="6">
        <v>106</v>
      </c>
      <c r="D208" s="6">
        <v>1213.6913697279001</v>
      </c>
      <c r="E208" s="6">
        <v>1349.3824755572</v>
      </c>
      <c r="F208" s="6">
        <v>0</v>
      </c>
      <c r="G208" s="6">
        <v>0</v>
      </c>
      <c r="H208" s="6">
        <v>0</v>
      </c>
      <c r="I208" s="6">
        <v>1</v>
      </c>
      <c r="J208" s="6">
        <v>0</v>
      </c>
      <c r="K208" s="6">
        <v>396.72</v>
      </c>
      <c r="L208" s="6">
        <v>357.048</v>
      </c>
      <c r="M208" s="6">
        <v>130</v>
      </c>
      <c r="N208" s="6">
        <v>120</v>
      </c>
      <c r="O208" s="6">
        <v>273.77712407429999</v>
      </c>
      <c r="P208" s="6">
        <v>393.77712407429999</v>
      </c>
      <c r="Q208" s="6">
        <v>884.88300000000004</v>
      </c>
      <c r="R208" s="9">
        <f t="shared" si="3"/>
        <v>2985.0905996314996</v>
      </c>
    </row>
    <row r="209" spans="1:18">
      <c r="A209" s="6" t="str">
        <f>"00027022"</f>
        <v>00027022</v>
      </c>
      <c r="B209" s="6" t="s">
        <v>230</v>
      </c>
      <c r="C209" s="6">
        <v>63</v>
      </c>
      <c r="D209" s="6">
        <v>646.84195341964005</v>
      </c>
      <c r="E209" s="6">
        <v>680.92531332159001</v>
      </c>
      <c r="F209" s="6">
        <v>0</v>
      </c>
      <c r="G209" s="6">
        <v>0</v>
      </c>
      <c r="H209" s="6">
        <v>0</v>
      </c>
      <c r="I209" s="6">
        <v>0.14285700000000001</v>
      </c>
      <c r="J209" s="6">
        <v>0</v>
      </c>
      <c r="K209" s="6">
        <v>346.762</v>
      </c>
      <c r="L209" s="6">
        <v>312.08600000000001</v>
      </c>
      <c r="M209" s="6">
        <v>180</v>
      </c>
      <c r="N209" s="6">
        <v>170</v>
      </c>
      <c r="O209" s="6">
        <v>182.42264486010001</v>
      </c>
      <c r="P209" s="6">
        <v>352.42264486009998</v>
      </c>
      <c r="Q209" s="6">
        <v>1705.46</v>
      </c>
      <c r="R209" s="9">
        <f t="shared" si="3"/>
        <v>3050.8939581816903</v>
      </c>
    </row>
    <row r="210" spans="1:18">
      <c r="A210" s="6" t="str">
        <f>"45773009"</f>
        <v>45773009</v>
      </c>
      <c r="B210" s="6" t="s">
        <v>231</v>
      </c>
      <c r="C210" s="6">
        <v>135</v>
      </c>
      <c r="D210" s="6">
        <v>2247.8703902892998</v>
      </c>
      <c r="E210" s="6">
        <v>2045.8787271937999</v>
      </c>
      <c r="F210" s="6">
        <v>0</v>
      </c>
      <c r="G210" s="6">
        <v>0</v>
      </c>
      <c r="H210" s="6">
        <v>0</v>
      </c>
      <c r="I210" s="6">
        <v>1</v>
      </c>
      <c r="J210" s="6">
        <v>0</v>
      </c>
      <c r="K210" s="6">
        <v>342.601</v>
      </c>
      <c r="L210" s="6">
        <v>308.34100000000001</v>
      </c>
      <c r="M210" s="6">
        <v>0</v>
      </c>
      <c r="N210" s="6">
        <v>0</v>
      </c>
      <c r="O210" s="6">
        <v>174.83533530380001</v>
      </c>
      <c r="P210" s="6">
        <v>174.83533530380001</v>
      </c>
      <c r="Q210" s="6">
        <v>408.798</v>
      </c>
      <c r="R210" s="9">
        <f t="shared" si="3"/>
        <v>2937.8530624976001</v>
      </c>
    </row>
    <row r="211" spans="1:18">
      <c r="A211" s="6" t="str">
        <f>"00027006"</f>
        <v>00027006</v>
      </c>
      <c r="B211" s="6" t="s">
        <v>232</v>
      </c>
      <c r="C211" s="6">
        <v>762</v>
      </c>
      <c r="D211" s="6">
        <v>12172.454568014</v>
      </c>
      <c r="E211" s="6">
        <v>12552.840433523999</v>
      </c>
      <c r="F211" s="6">
        <v>0</v>
      </c>
      <c r="G211" s="6">
        <v>0</v>
      </c>
      <c r="H211" s="6">
        <v>0</v>
      </c>
      <c r="I211" s="6">
        <v>5.3954500000000003</v>
      </c>
      <c r="J211" s="6">
        <v>2</v>
      </c>
      <c r="K211" s="6">
        <v>2260.41</v>
      </c>
      <c r="L211" s="6">
        <v>2483.62</v>
      </c>
      <c r="M211" s="6">
        <v>170</v>
      </c>
      <c r="N211" s="6">
        <v>170</v>
      </c>
      <c r="O211" s="6">
        <v>1189.2443073166</v>
      </c>
      <c r="P211" s="6">
        <v>1359.2443073166</v>
      </c>
      <c r="Q211" s="6">
        <v>5563.69</v>
      </c>
      <c r="R211" s="9">
        <f t="shared" si="3"/>
        <v>21959.394740840598</v>
      </c>
    </row>
    <row r="212" spans="1:18">
      <c r="A212" s="6" t="str">
        <f>"00027073"</f>
        <v>00027073</v>
      </c>
      <c r="B212" s="6" t="s">
        <v>233</v>
      </c>
      <c r="C212" s="6">
        <v>255</v>
      </c>
      <c r="D212" s="6">
        <v>4858.7181782118996</v>
      </c>
      <c r="E212" s="6">
        <v>4834.9450307825</v>
      </c>
      <c r="F212" s="6">
        <v>0</v>
      </c>
      <c r="G212" s="6">
        <v>0</v>
      </c>
      <c r="H212" s="6">
        <v>0</v>
      </c>
      <c r="I212" s="6">
        <v>4.5999999999999996</v>
      </c>
      <c r="J212" s="6">
        <v>0</v>
      </c>
      <c r="K212" s="6">
        <v>1807.27</v>
      </c>
      <c r="L212" s="6">
        <v>1626.54</v>
      </c>
      <c r="M212" s="6">
        <v>175</v>
      </c>
      <c r="N212" s="6">
        <v>175</v>
      </c>
      <c r="O212" s="6">
        <v>460.24906082709998</v>
      </c>
      <c r="P212" s="6">
        <v>635.24906082710004</v>
      </c>
      <c r="Q212" s="6">
        <v>8986.67</v>
      </c>
      <c r="R212" s="9">
        <f t="shared" si="3"/>
        <v>16083.4040916096</v>
      </c>
    </row>
    <row r="213" spans="1:18">
      <c r="A213" s="6" t="str">
        <f>"26232511"</f>
        <v>26232511</v>
      </c>
      <c r="B213" s="6" t="s">
        <v>234</v>
      </c>
      <c r="C213" s="6">
        <v>20</v>
      </c>
      <c r="D213" s="6">
        <v>289.46448387213002</v>
      </c>
      <c r="E213" s="6">
        <v>162.01239660328</v>
      </c>
      <c r="F213" s="6">
        <v>0</v>
      </c>
      <c r="G213" s="6">
        <v>0</v>
      </c>
      <c r="H213" s="6">
        <v>0</v>
      </c>
      <c r="I213" s="6">
        <v>1</v>
      </c>
      <c r="J213" s="6">
        <v>0</v>
      </c>
      <c r="K213" s="6">
        <v>621.74900000000002</v>
      </c>
      <c r="L213" s="6">
        <v>559.57399999999996</v>
      </c>
      <c r="M213" s="6">
        <v>0</v>
      </c>
      <c r="N213" s="6">
        <v>0</v>
      </c>
      <c r="O213" s="6">
        <v>258.50025011579999</v>
      </c>
      <c r="P213" s="6">
        <v>258.50025011579999</v>
      </c>
      <c r="Q213" s="6">
        <v>3234.16</v>
      </c>
      <c r="R213" s="9">
        <f t="shared" si="3"/>
        <v>4214.2466467190798</v>
      </c>
    </row>
    <row r="214" spans="1:18">
      <c r="A214" s="6" t="str">
        <f>"00027162"</f>
        <v>00027162</v>
      </c>
      <c r="B214" s="6" t="s">
        <v>235</v>
      </c>
      <c r="C214" s="6">
        <v>419</v>
      </c>
      <c r="D214" s="6">
        <v>12992.956183815</v>
      </c>
      <c r="E214" s="6">
        <v>13446.071556348999</v>
      </c>
      <c r="F214" s="6">
        <v>0</v>
      </c>
      <c r="G214" s="6">
        <v>0</v>
      </c>
      <c r="H214" s="6">
        <v>0</v>
      </c>
      <c r="I214" s="6">
        <v>5.5303000000000004</v>
      </c>
      <c r="J214" s="6">
        <v>2</v>
      </c>
      <c r="K214" s="6">
        <v>2094.56</v>
      </c>
      <c r="L214" s="6">
        <v>2336.37</v>
      </c>
      <c r="M214" s="6">
        <v>100</v>
      </c>
      <c r="N214" s="6">
        <v>100</v>
      </c>
      <c r="O214" s="6">
        <v>692.5311684866</v>
      </c>
      <c r="P214" s="6">
        <v>792.5311684866</v>
      </c>
      <c r="Q214" s="6">
        <v>2560.25</v>
      </c>
      <c r="R214" s="9">
        <f t="shared" si="3"/>
        <v>19135.222724835599</v>
      </c>
    </row>
    <row r="215" spans="1:18">
      <c r="A215" s="6" t="str">
        <f>"00020711"</f>
        <v>00020711</v>
      </c>
      <c r="B215" s="6" t="s">
        <v>236</v>
      </c>
      <c r="C215" s="6">
        <v>259</v>
      </c>
      <c r="D215" s="6">
        <v>2529.8715628425002</v>
      </c>
      <c r="E215" s="6">
        <v>2541.1264828727999</v>
      </c>
      <c r="F215" s="6">
        <v>0</v>
      </c>
      <c r="G215" s="6">
        <v>0</v>
      </c>
      <c r="H215" s="6">
        <v>0</v>
      </c>
      <c r="I215" s="6">
        <v>1.5714300000000001</v>
      </c>
      <c r="J215" s="6">
        <v>0</v>
      </c>
      <c r="K215" s="6">
        <v>759.97400000000005</v>
      </c>
      <c r="L215" s="6">
        <v>683.97699999999998</v>
      </c>
      <c r="M215" s="6">
        <v>100</v>
      </c>
      <c r="N215" s="6">
        <v>100</v>
      </c>
      <c r="O215" s="6">
        <v>1069.1357654709</v>
      </c>
      <c r="P215" s="6">
        <v>1169.1357654709</v>
      </c>
      <c r="Q215" s="6">
        <v>4375.42</v>
      </c>
      <c r="R215" s="9">
        <f t="shared" si="3"/>
        <v>8769.6592483436998</v>
      </c>
    </row>
    <row r="216" spans="1:18">
      <c r="A216" s="6" t="str">
        <f>"00027031"</f>
        <v>00027031</v>
      </c>
      <c r="B216" s="6" t="s">
        <v>237</v>
      </c>
      <c r="C216" s="6">
        <v>115</v>
      </c>
      <c r="D216" s="6">
        <v>574.45098660445001</v>
      </c>
      <c r="E216" s="6">
        <v>601.45063641362003</v>
      </c>
      <c r="F216" s="6">
        <v>0</v>
      </c>
      <c r="G216" s="6">
        <v>0</v>
      </c>
      <c r="H216" s="6">
        <v>0</v>
      </c>
      <c r="I216" s="6">
        <v>0.88</v>
      </c>
      <c r="J216" s="6">
        <v>0</v>
      </c>
      <c r="K216" s="6">
        <v>370.70499999999998</v>
      </c>
      <c r="L216" s="6">
        <v>333.63400000000001</v>
      </c>
      <c r="M216" s="6">
        <v>300</v>
      </c>
      <c r="N216" s="6">
        <v>283.29999923705998</v>
      </c>
      <c r="O216" s="6">
        <v>293.85997578429999</v>
      </c>
      <c r="P216" s="6">
        <v>577.15997502139999</v>
      </c>
      <c r="Q216" s="6">
        <v>2031.92</v>
      </c>
      <c r="R216" s="9">
        <f t="shared" si="3"/>
        <v>3544.1646114350201</v>
      </c>
    </row>
    <row r="217" spans="1:18">
      <c r="A217" s="6" t="str">
        <f>"00027014"</f>
        <v>00027014</v>
      </c>
      <c r="B217" s="6" t="s">
        <v>238</v>
      </c>
      <c r="C217" s="6">
        <v>396</v>
      </c>
      <c r="D217" s="6">
        <v>10548.745369484001</v>
      </c>
      <c r="E217" s="6">
        <v>10975.102287878</v>
      </c>
      <c r="F217" s="6">
        <v>0</v>
      </c>
      <c r="G217" s="6">
        <v>0</v>
      </c>
      <c r="H217" s="6">
        <v>0</v>
      </c>
      <c r="I217" s="6">
        <v>6.9706999999999999</v>
      </c>
      <c r="J217" s="6">
        <v>0</v>
      </c>
      <c r="K217" s="6">
        <v>1951.41</v>
      </c>
      <c r="L217" s="6">
        <v>1756.27</v>
      </c>
      <c r="M217" s="6">
        <v>40</v>
      </c>
      <c r="N217" s="6">
        <v>40</v>
      </c>
      <c r="O217" s="6">
        <v>470.16778086720001</v>
      </c>
      <c r="P217" s="6">
        <v>510.16778086720001</v>
      </c>
      <c r="Q217" s="6">
        <v>2819.37</v>
      </c>
      <c r="R217" s="9">
        <f t="shared" si="3"/>
        <v>16060.910068745201</v>
      </c>
    </row>
    <row r="218" spans="1:18">
      <c r="A218" s="6" t="str">
        <f>"00263338"</f>
        <v>00263338</v>
      </c>
      <c r="B218" s="6" t="s">
        <v>239</v>
      </c>
      <c r="C218" s="6">
        <v>3</v>
      </c>
      <c r="D218" s="6">
        <v>19.625372296156002</v>
      </c>
      <c r="E218" s="6">
        <v>12.849323602308001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/>
      <c r="O218" s="6">
        <v>0</v>
      </c>
      <c r="P218" s="6">
        <v>0</v>
      </c>
      <c r="Q218" s="6">
        <v>0</v>
      </c>
      <c r="R218" s="9">
        <f t="shared" si="3"/>
        <v>12.849323602308001</v>
      </c>
    </row>
    <row r="219" spans="1:18">
      <c r="A219" s="6" t="str">
        <f>"49777513"</f>
        <v>49777513</v>
      </c>
      <c r="B219" s="6" t="s">
        <v>240</v>
      </c>
      <c r="C219" s="6">
        <v>4002</v>
      </c>
      <c r="D219" s="6">
        <v>56033.393220063997</v>
      </c>
      <c r="E219" s="6">
        <v>52247.700255103999</v>
      </c>
      <c r="F219" s="6">
        <v>0</v>
      </c>
      <c r="G219" s="6">
        <v>0</v>
      </c>
      <c r="H219" s="6">
        <v>0</v>
      </c>
      <c r="I219" s="6">
        <v>18.186699999999998</v>
      </c>
      <c r="J219" s="6">
        <v>6</v>
      </c>
      <c r="K219" s="6">
        <v>8528.08</v>
      </c>
      <c r="L219" s="6">
        <v>8982.67</v>
      </c>
      <c r="M219" s="6">
        <v>810</v>
      </c>
      <c r="N219" s="6">
        <v>560</v>
      </c>
      <c r="O219" s="6">
        <v>3299.7843240845</v>
      </c>
      <c r="P219" s="6">
        <v>3859.7843240845</v>
      </c>
      <c r="Q219" s="6">
        <v>24943</v>
      </c>
      <c r="R219" s="9">
        <f t="shared" si="3"/>
        <v>90033.1545791885</v>
      </c>
    </row>
    <row r="220" spans="1:18">
      <c r="A220" s="6" t="str">
        <f>"00228745"</f>
        <v>00228745</v>
      </c>
      <c r="B220" s="6" t="s">
        <v>241</v>
      </c>
      <c r="C220" s="6">
        <v>60</v>
      </c>
      <c r="D220" s="6">
        <v>427.63759796214998</v>
      </c>
      <c r="E220" s="6">
        <v>412.26538070904002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/>
      <c r="O220" s="6">
        <v>0</v>
      </c>
      <c r="P220" s="6">
        <v>0</v>
      </c>
      <c r="Q220" s="6">
        <v>0</v>
      </c>
      <c r="R220" s="9">
        <f t="shared" si="3"/>
        <v>412.26538070904002</v>
      </c>
    </row>
    <row r="221" spans="1:18">
      <c r="A221" s="6" t="str">
        <f>"26296080"</f>
        <v>26296080</v>
      </c>
      <c r="B221" s="6" t="s">
        <v>242</v>
      </c>
      <c r="C221" s="6">
        <v>134</v>
      </c>
      <c r="D221" s="6">
        <v>599.48860410583995</v>
      </c>
      <c r="E221" s="6">
        <v>622.97174238210005</v>
      </c>
      <c r="F221" s="6">
        <v>0</v>
      </c>
      <c r="G221" s="6">
        <v>0</v>
      </c>
      <c r="H221" s="6">
        <v>0</v>
      </c>
      <c r="I221" s="6">
        <v>1.5</v>
      </c>
      <c r="J221" s="6">
        <v>1</v>
      </c>
      <c r="K221" s="6">
        <v>277.09800000000001</v>
      </c>
      <c r="L221" s="6">
        <v>304.41500000000002</v>
      </c>
      <c r="M221" s="6">
        <v>75</v>
      </c>
      <c r="N221" s="6">
        <v>75</v>
      </c>
      <c r="O221" s="6">
        <v>246.39327637619999</v>
      </c>
      <c r="P221" s="6">
        <v>321.39327637619999</v>
      </c>
      <c r="Q221" s="6">
        <v>1476.57</v>
      </c>
      <c r="R221" s="9">
        <f t="shared" si="3"/>
        <v>2725.3500187582999</v>
      </c>
    </row>
    <row r="222" spans="1:18">
      <c r="A222" s="6" t="str">
        <f>"60459263"</f>
        <v>60459263</v>
      </c>
      <c r="B222" s="6" t="s">
        <v>243</v>
      </c>
      <c r="C222" s="6">
        <v>19</v>
      </c>
      <c r="D222" s="6">
        <v>175.71070768711999</v>
      </c>
      <c r="E222" s="6">
        <v>142.45556576440001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/>
      <c r="O222" s="6">
        <v>0</v>
      </c>
      <c r="P222" s="6">
        <v>0</v>
      </c>
      <c r="Q222" s="6">
        <v>0</v>
      </c>
      <c r="R222" s="9">
        <f t="shared" si="3"/>
        <v>142.45556576440001</v>
      </c>
    </row>
    <row r="223" spans="1:18">
      <c r="R223" s="4"/>
    </row>
    <row r="224" spans="1:18">
      <c r="R224" s="4"/>
    </row>
  </sheetData>
  <sheetProtection formatCells="0" formatColumns="0" formatRows="0" insertColumns="0" insertRows="0" insertHyperlinks="0" deleteColumns="0" deleteRows="0" sort="0" autoFilter="0" pivotTables="0"/>
  <mergeCells count="5">
    <mergeCell ref="A3:B3"/>
    <mergeCell ref="C3:E3"/>
    <mergeCell ref="F3:H3"/>
    <mergeCell ref="I3:L3"/>
    <mergeCell ref="M3:P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VO_celkové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Hodnoceni 2015 -</dc:title>
  <dc:subject>Data Hodnoceni 2015 -</dc:subject>
  <dc:creator>RVVI</dc:creator>
  <cp:keywords>rvvi</cp:keywords>
  <dc:description>Data Hodnoceni 2015 -</dc:description>
  <cp:lastModifiedBy>Lucy</cp:lastModifiedBy>
  <dcterms:created xsi:type="dcterms:W3CDTF">2017-03-21T10:41:15Z</dcterms:created>
  <dcterms:modified xsi:type="dcterms:W3CDTF">2017-03-21T17:15:20Z</dcterms:modified>
</cp:coreProperties>
</file>