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0" yWindow="60" windowWidth="28800" windowHeight="16140"/>
  </bookViews>
  <sheets>
    <sheet name="VO_současti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42" i="2" l="1"/>
  <c r="A642" i="2"/>
  <c r="T641" i="2"/>
  <c r="A641" i="2"/>
  <c r="T640" i="2"/>
  <c r="A640" i="2"/>
  <c r="T639" i="2"/>
  <c r="A639" i="2"/>
  <c r="T638" i="2"/>
  <c r="A638" i="2"/>
  <c r="T637" i="2"/>
  <c r="A637" i="2"/>
  <c r="T636" i="2"/>
  <c r="A636" i="2"/>
  <c r="T635" i="2"/>
  <c r="A635" i="2"/>
  <c r="T634" i="2"/>
  <c r="A634" i="2"/>
  <c r="T633" i="2"/>
  <c r="A633" i="2"/>
  <c r="T632" i="2"/>
  <c r="A632" i="2"/>
  <c r="T631" i="2"/>
  <c r="A631" i="2"/>
  <c r="T630" i="2"/>
  <c r="A630" i="2"/>
  <c r="T629" i="2"/>
  <c r="A629" i="2"/>
  <c r="T628" i="2"/>
  <c r="A628" i="2"/>
  <c r="T627" i="2"/>
  <c r="A627" i="2"/>
  <c r="T626" i="2"/>
  <c r="A626" i="2"/>
  <c r="T625" i="2"/>
  <c r="A625" i="2"/>
  <c r="T624" i="2"/>
  <c r="A624" i="2"/>
  <c r="T623" i="2"/>
  <c r="A623" i="2"/>
  <c r="T622" i="2"/>
  <c r="A622" i="2"/>
  <c r="T621" i="2"/>
  <c r="A621" i="2"/>
  <c r="T620" i="2"/>
  <c r="A620" i="2"/>
  <c r="T619" i="2"/>
  <c r="A619" i="2"/>
  <c r="T618" i="2"/>
  <c r="A618" i="2"/>
  <c r="T617" i="2"/>
  <c r="A617" i="2"/>
  <c r="T616" i="2"/>
  <c r="A616" i="2"/>
  <c r="T615" i="2"/>
  <c r="A615" i="2"/>
  <c r="T614" i="2"/>
  <c r="A614" i="2"/>
  <c r="T613" i="2"/>
  <c r="A613" i="2"/>
  <c r="T612" i="2"/>
  <c r="A612" i="2"/>
  <c r="T611" i="2"/>
  <c r="A611" i="2"/>
  <c r="T610" i="2"/>
  <c r="A610" i="2"/>
  <c r="T609" i="2"/>
  <c r="A609" i="2"/>
  <c r="T608" i="2"/>
  <c r="A608" i="2"/>
  <c r="T607" i="2"/>
  <c r="A607" i="2"/>
  <c r="T606" i="2"/>
  <c r="A606" i="2"/>
  <c r="T605" i="2"/>
  <c r="A605" i="2"/>
  <c r="T604" i="2"/>
  <c r="A604" i="2"/>
  <c r="T603" i="2"/>
  <c r="A603" i="2"/>
  <c r="T602" i="2"/>
  <c r="A602" i="2"/>
  <c r="T601" i="2"/>
  <c r="A601" i="2"/>
  <c r="T600" i="2"/>
  <c r="A600" i="2"/>
  <c r="T599" i="2"/>
  <c r="A599" i="2"/>
  <c r="T598" i="2"/>
  <c r="A598" i="2"/>
  <c r="T597" i="2"/>
  <c r="A597" i="2"/>
  <c r="T596" i="2"/>
  <c r="A596" i="2"/>
  <c r="T595" i="2"/>
  <c r="A595" i="2"/>
  <c r="T594" i="2"/>
  <c r="A594" i="2"/>
  <c r="T593" i="2"/>
  <c r="A593" i="2"/>
  <c r="T592" i="2"/>
  <c r="A592" i="2"/>
  <c r="T591" i="2"/>
  <c r="A591" i="2"/>
  <c r="T590" i="2"/>
  <c r="A590" i="2"/>
  <c r="T589" i="2"/>
  <c r="A589" i="2"/>
  <c r="T588" i="2"/>
  <c r="A588" i="2"/>
  <c r="T587" i="2"/>
  <c r="A587" i="2"/>
  <c r="T586" i="2"/>
  <c r="A586" i="2"/>
  <c r="T585" i="2"/>
  <c r="A585" i="2"/>
  <c r="T584" i="2"/>
  <c r="A584" i="2"/>
  <c r="T583" i="2"/>
  <c r="A583" i="2"/>
  <c r="T582" i="2"/>
  <c r="A582" i="2"/>
  <c r="T581" i="2"/>
  <c r="A581" i="2"/>
  <c r="T580" i="2"/>
  <c r="A580" i="2"/>
  <c r="T579" i="2"/>
  <c r="A579" i="2"/>
  <c r="T578" i="2"/>
  <c r="A578" i="2"/>
  <c r="T577" i="2"/>
  <c r="A577" i="2"/>
  <c r="T576" i="2"/>
  <c r="A576" i="2"/>
  <c r="T575" i="2"/>
  <c r="A575" i="2"/>
  <c r="T574" i="2"/>
  <c r="A574" i="2"/>
  <c r="T573" i="2"/>
  <c r="A573" i="2"/>
  <c r="T572" i="2"/>
  <c r="A572" i="2"/>
  <c r="T571" i="2"/>
  <c r="A571" i="2"/>
  <c r="T570" i="2"/>
  <c r="A570" i="2"/>
  <c r="T569" i="2"/>
  <c r="A569" i="2"/>
  <c r="T568" i="2"/>
  <c r="A568" i="2"/>
  <c r="T567" i="2"/>
  <c r="A567" i="2"/>
  <c r="T566" i="2"/>
  <c r="A566" i="2"/>
  <c r="T565" i="2"/>
  <c r="A565" i="2"/>
  <c r="T564" i="2"/>
  <c r="A564" i="2"/>
  <c r="T563" i="2"/>
  <c r="A563" i="2"/>
  <c r="T562" i="2"/>
  <c r="A562" i="2"/>
  <c r="T561" i="2"/>
  <c r="A561" i="2"/>
  <c r="T560" i="2"/>
  <c r="A560" i="2"/>
  <c r="T559" i="2"/>
  <c r="A559" i="2"/>
  <c r="T558" i="2"/>
  <c r="A558" i="2"/>
  <c r="T557" i="2"/>
  <c r="A557" i="2"/>
  <c r="T556" i="2"/>
  <c r="A556" i="2"/>
  <c r="T555" i="2"/>
  <c r="A555" i="2"/>
  <c r="T554" i="2"/>
  <c r="A554" i="2"/>
  <c r="T553" i="2"/>
  <c r="T552" i="2"/>
  <c r="A552" i="2"/>
  <c r="T551" i="2"/>
  <c r="A551" i="2"/>
  <c r="T550" i="2"/>
  <c r="A550" i="2"/>
  <c r="T549" i="2"/>
  <c r="A549" i="2"/>
  <c r="T548" i="2"/>
  <c r="A548" i="2"/>
  <c r="T547" i="2"/>
  <c r="A547" i="2"/>
  <c r="T546" i="2"/>
  <c r="A546" i="2"/>
  <c r="T545" i="2"/>
  <c r="A545" i="2"/>
  <c r="T544" i="2"/>
  <c r="A544" i="2"/>
  <c r="T543" i="2"/>
  <c r="A543" i="2"/>
  <c r="T542" i="2"/>
  <c r="A542" i="2"/>
  <c r="T541" i="2"/>
  <c r="A541" i="2"/>
  <c r="T540" i="2"/>
  <c r="A540" i="2"/>
  <c r="T539" i="2"/>
  <c r="A539" i="2"/>
  <c r="T538" i="2"/>
  <c r="A538" i="2"/>
  <c r="T537" i="2"/>
  <c r="A537" i="2"/>
  <c r="T536" i="2"/>
  <c r="A536" i="2"/>
  <c r="T535" i="2"/>
  <c r="A535" i="2"/>
  <c r="T534" i="2"/>
  <c r="A534" i="2"/>
  <c r="T533" i="2"/>
  <c r="A533" i="2"/>
  <c r="T532" i="2"/>
  <c r="A532" i="2"/>
  <c r="T531" i="2"/>
  <c r="A531" i="2"/>
  <c r="T530" i="2"/>
  <c r="A530" i="2"/>
  <c r="T529" i="2"/>
  <c r="A529" i="2"/>
  <c r="T528" i="2"/>
  <c r="A528" i="2"/>
  <c r="T527" i="2"/>
  <c r="A527" i="2"/>
  <c r="T526" i="2"/>
  <c r="A526" i="2"/>
  <c r="T525" i="2"/>
  <c r="A525" i="2"/>
  <c r="T524" i="2"/>
  <c r="A524" i="2"/>
  <c r="T523" i="2"/>
  <c r="A523" i="2"/>
  <c r="T522" i="2"/>
  <c r="A522" i="2"/>
  <c r="T521" i="2"/>
  <c r="A521" i="2"/>
  <c r="T520" i="2"/>
  <c r="A520" i="2"/>
  <c r="T519" i="2"/>
  <c r="A519" i="2"/>
  <c r="T518" i="2"/>
  <c r="A518" i="2"/>
  <c r="T517" i="2"/>
  <c r="A517" i="2"/>
  <c r="T516" i="2"/>
  <c r="A516" i="2"/>
  <c r="T515" i="2"/>
  <c r="A515" i="2"/>
  <c r="T514" i="2"/>
  <c r="A514" i="2"/>
  <c r="T513" i="2"/>
  <c r="A513" i="2"/>
  <c r="T512" i="2"/>
  <c r="A512" i="2"/>
  <c r="T511" i="2"/>
  <c r="A511" i="2"/>
  <c r="T510" i="2"/>
  <c r="A510" i="2"/>
  <c r="T509" i="2"/>
  <c r="A509" i="2"/>
  <c r="T508" i="2"/>
  <c r="A508" i="2"/>
  <c r="T507" i="2"/>
  <c r="A507" i="2"/>
  <c r="T506" i="2"/>
  <c r="A506" i="2"/>
  <c r="T505" i="2"/>
  <c r="A505" i="2"/>
  <c r="T504" i="2"/>
  <c r="A504" i="2"/>
  <c r="T503" i="2"/>
  <c r="A503" i="2"/>
  <c r="T502" i="2"/>
  <c r="A502" i="2"/>
  <c r="T501" i="2"/>
  <c r="A501" i="2"/>
  <c r="T500" i="2"/>
  <c r="A500" i="2"/>
  <c r="T499" i="2"/>
  <c r="A499" i="2"/>
  <c r="T498" i="2"/>
  <c r="A498" i="2"/>
  <c r="T497" i="2"/>
  <c r="A497" i="2"/>
  <c r="T496" i="2"/>
  <c r="A496" i="2"/>
  <c r="T495" i="2"/>
  <c r="A495" i="2"/>
  <c r="T494" i="2"/>
  <c r="A494" i="2"/>
  <c r="T493" i="2"/>
  <c r="A493" i="2"/>
  <c r="T492" i="2"/>
  <c r="A492" i="2"/>
  <c r="T491" i="2"/>
  <c r="A491" i="2"/>
  <c r="T490" i="2"/>
  <c r="A490" i="2"/>
  <c r="T489" i="2"/>
  <c r="A489" i="2"/>
  <c r="T488" i="2"/>
  <c r="A488" i="2"/>
  <c r="T487" i="2"/>
  <c r="A487" i="2"/>
  <c r="T486" i="2"/>
  <c r="A486" i="2"/>
  <c r="T485" i="2"/>
  <c r="A485" i="2"/>
  <c r="T484" i="2"/>
  <c r="A484" i="2"/>
  <c r="T483" i="2"/>
  <c r="A483" i="2"/>
  <c r="T482" i="2"/>
  <c r="A482" i="2"/>
  <c r="T481" i="2"/>
  <c r="A481" i="2"/>
  <c r="T480" i="2"/>
  <c r="A480" i="2"/>
  <c r="T479" i="2"/>
  <c r="A479" i="2"/>
  <c r="T478" i="2"/>
  <c r="A478" i="2"/>
  <c r="T477" i="2"/>
  <c r="A477" i="2"/>
  <c r="T476" i="2"/>
  <c r="A476" i="2"/>
  <c r="T475" i="2"/>
  <c r="A475" i="2"/>
  <c r="T474" i="2"/>
  <c r="A474" i="2"/>
  <c r="T473" i="2"/>
  <c r="A473" i="2"/>
  <c r="T472" i="2"/>
  <c r="A472" i="2"/>
  <c r="T471" i="2"/>
  <c r="A471" i="2"/>
  <c r="T470" i="2"/>
  <c r="A470" i="2"/>
  <c r="T469" i="2"/>
  <c r="A469" i="2"/>
  <c r="T468" i="2"/>
  <c r="A468" i="2"/>
  <c r="T467" i="2"/>
  <c r="A467" i="2"/>
  <c r="T466" i="2"/>
  <c r="A466" i="2"/>
  <c r="T465" i="2"/>
  <c r="A465" i="2"/>
  <c r="T464" i="2"/>
  <c r="A464" i="2"/>
  <c r="T463" i="2"/>
  <c r="A463" i="2"/>
  <c r="T462" i="2"/>
  <c r="A462" i="2"/>
  <c r="T461" i="2"/>
  <c r="A461" i="2"/>
  <c r="T460" i="2"/>
  <c r="A460" i="2"/>
  <c r="T459" i="2"/>
  <c r="A459" i="2"/>
  <c r="T458" i="2"/>
  <c r="A458" i="2"/>
  <c r="T457" i="2"/>
  <c r="A457" i="2"/>
  <c r="T456" i="2"/>
  <c r="A456" i="2"/>
  <c r="T455" i="2"/>
  <c r="A455" i="2"/>
  <c r="T454" i="2"/>
  <c r="A454" i="2"/>
  <c r="T453" i="2"/>
  <c r="A453" i="2"/>
  <c r="T452" i="2"/>
  <c r="A452" i="2"/>
  <c r="T451" i="2"/>
  <c r="A451" i="2"/>
  <c r="T450" i="2"/>
  <c r="A450" i="2"/>
  <c r="T449" i="2"/>
  <c r="A449" i="2"/>
  <c r="T448" i="2"/>
  <c r="A448" i="2"/>
  <c r="T447" i="2"/>
  <c r="A447" i="2"/>
  <c r="T446" i="2"/>
  <c r="A446" i="2"/>
  <c r="T445" i="2"/>
  <c r="A445" i="2"/>
  <c r="T444" i="2"/>
  <c r="A444" i="2"/>
  <c r="T443" i="2"/>
  <c r="A443" i="2"/>
  <c r="T442" i="2"/>
  <c r="A442" i="2"/>
  <c r="T441" i="2"/>
  <c r="A441" i="2"/>
  <c r="T440" i="2"/>
  <c r="A440" i="2"/>
  <c r="T439" i="2"/>
  <c r="A439" i="2"/>
  <c r="T438" i="2"/>
  <c r="A438" i="2"/>
  <c r="T437" i="2"/>
  <c r="A437" i="2"/>
  <c r="T436" i="2"/>
  <c r="A436" i="2"/>
  <c r="T435" i="2"/>
  <c r="A435" i="2"/>
  <c r="T434" i="2"/>
  <c r="A434" i="2"/>
  <c r="T433" i="2"/>
  <c r="A433" i="2"/>
  <c r="T432" i="2"/>
  <c r="A432" i="2"/>
  <c r="T431" i="2"/>
  <c r="A431" i="2"/>
  <c r="T430" i="2"/>
  <c r="A430" i="2"/>
  <c r="T429" i="2"/>
  <c r="A429" i="2"/>
  <c r="T428" i="2"/>
  <c r="A428" i="2"/>
  <c r="T427" i="2"/>
  <c r="A427" i="2"/>
  <c r="T426" i="2"/>
  <c r="A426" i="2"/>
  <c r="T425" i="2"/>
  <c r="A425" i="2"/>
  <c r="T424" i="2"/>
  <c r="A424" i="2"/>
  <c r="T423" i="2"/>
  <c r="A423" i="2"/>
  <c r="T422" i="2"/>
  <c r="A422" i="2"/>
  <c r="T421" i="2"/>
  <c r="A421" i="2"/>
  <c r="T420" i="2"/>
  <c r="A420" i="2"/>
  <c r="T419" i="2"/>
  <c r="A419" i="2"/>
  <c r="T418" i="2"/>
  <c r="A418" i="2"/>
  <c r="T417" i="2"/>
  <c r="A417" i="2"/>
  <c r="T416" i="2"/>
  <c r="A416" i="2"/>
  <c r="T415" i="2"/>
  <c r="A415" i="2"/>
  <c r="T414" i="2"/>
  <c r="A414" i="2"/>
  <c r="T413" i="2"/>
  <c r="A413" i="2"/>
  <c r="T412" i="2"/>
  <c r="A412" i="2"/>
  <c r="T411" i="2"/>
  <c r="A411" i="2"/>
  <c r="T410" i="2"/>
  <c r="A410" i="2"/>
  <c r="T409" i="2"/>
  <c r="A409" i="2"/>
  <c r="T408" i="2"/>
  <c r="A408" i="2"/>
  <c r="T407" i="2"/>
  <c r="A407" i="2"/>
  <c r="T406" i="2"/>
  <c r="A406" i="2"/>
  <c r="T405" i="2"/>
  <c r="A405" i="2"/>
  <c r="T404" i="2"/>
  <c r="A404" i="2"/>
  <c r="T403" i="2"/>
  <c r="A403" i="2"/>
  <c r="T402" i="2"/>
  <c r="A402" i="2"/>
  <c r="T401" i="2"/>
  <c r="A401" i="2"/>
  <c r="T400" i="2"/>
  <c r="A400" i="2"/>
  <c r="T399" i="2"/>
  <c r="A399" i="2"/>
  <c r="T398" i="2"/>
  <c r="A398" i="2"/>
  <c r="T397" i="2"/>
  <c r="A397" i="2"/>
  <c r="T396" i="2"/>
  <c r="A396" i="2"/>
  <c r="T395" i="2"/>
  <c r="A395" i="2"/>
  <c r="T394" i="2"/>
  <c r="A394" i="2"/>
  <c r="T393" i="2"/>
  <c r="A393" i="2"/>
  <c r="T392" i="2"/>
  <c r="A392" i="2"/>
  <c r="T391" i="2"/>
  <c r="A391" i="2"/>
  <c r="T390" i="2"/>
  <c r="A390" i="2"/>
  <c r="T389" i="2"/>
  <c r="A389" i="2"/>
  <c r="T388" i="2"/>
  <c r="A388" i="2"/>
  <c r="T387" i="2"/>
  <c r="A387" i="2"/>
  <c r="T386" i="2"/>
  <c r="A386" i="2"/>
  <c r="T385" i="2"/>
  <c r="A385" i="2"/>
  <c r="T384" i="2"/>
  <c r="A384" i="2"/>
  <c r="T383" i="2"/>
  <c r="A383" i="2"/>
  <c r="T382" i="2"/>
  <c r="A382" i="2"/>
  <c r="T381" i="2"/>
  <c r="A381" i="2"/>
  <c r="T380" i="2"/>
  <c r="A380" i="2"/>
  <c r="T379" i="2"/>
  <c r="A379" i="2"/>
  <c r="T378" i="2"/>
  <c r="A378" i="2"/>
  <c r="T377" i="2"/>
  <c r="A377" i="2"/>
  <c r="T376" i="2"/>
  <c r="A376" i="2"/>
  <c r="T375" i="2"/>
  <c r="A375" i="2"/>
  <c r="T374" i="2"/>
  <c r="A374" i="2"/>
  <c r="T373" i="2"/>
  <c r="A373" i="2"/>
  <c r="T372" i="2"/>
  <c r="A372" i="2"/>
  <c r="T371" i="2"/>
  <c r="A371" i="2"/>
  <c r="T370" i="2"/>
  <c r="A370" i="2"/>
  <c r="T369" i="2"/>
  <c r="A369" i="2"/>
  <c r="T368" i="2"/>
  <c r="A368" i="2"/>
  <c r="T367" i="2"/>
  <c r="A367" i="2"/>
  <c r="T366" i="2"/>
  <c r="A366" i="2"/>
  <c r="T365" i="2"/>
  <c r="A365" i="2"/>
  <c r="T364" i="2"/>
  <c r="A364" i="2"/>
  <c r="T363" i="2"/>
  <c r="A363" i="2"/>
  <c r="T362" i="2"/>
  <c r="A362" i="2"/>
  <c r="T361" i="2"/>
  <c r="A361" i="2"/>
  <c r="T360" i="2"/>
  <c r="A360" i="2"/>
  <c r="T359" i="2"/>
  <c r="A359" i="2"/>
  <c r="T358" i="2"/>
  <c r="A358" i="2"/>
  <c r="T357" i="2"/>
  <c r="A357" i="2"/>
  <c r="T356" i="2"/>
  <c r="A356" i="2"/>
  <c r="T355" i="2"/>
  <c r="A355" i="2"/>
  <c r="T354" i="2"/>
  <c r="A354" i="2"/>
  <c r="T353" i="2"/>
  <c r="A353" i="2"/>
  <c r="T352" i="2"/>
  <c r="A352" i="2"/>
  <c r="T351" i="2"/>
  <c r="A351" i="2"/>
  <c r="T350" i="2"/>
  <c r="A350" i="2"/>
  <c r="T349" i="2"/>
  <c r="A349" i="2"/>
  <c r="T348" i="2"/>
  <c r="A348" i="2"/>
  <c r="T347" i="2"/>
  <c r="A347" i="2"/>
  <c r="T346" i="2"/>
  <c r="A346" i="2"/>
  <c r="T345" i="2"/>
  <c r="A345" i="2"/>
  <c r="T344" i="2"/>
  <c r="A344" i="2"/>
  <c r="T343" i="2"/>
  <c r="A343" i="2"/>
  <c r="T342" i="2"/>
  <c r="A342" i="2"/>
  <c r="T341" i="2"/>
  <c r="A341" i="2"/>
  <c r="T340" i="2"/>
  <c r="A340" i="2"/>
  <c r="T339" i="2"/>
  <c r="A339" i="2"/>
  <c r="T338" i="2"/>
  <c r="A338" i="2"/>
  <c r="T337" i="2"/>
  <c r="A337" i="2"/>
  <c r="T336" i="2"/>
  <c r="A336" i="2"/>
  <c r="T335" i="2"/>
  <c r="A335" i="2"/>
  <c r="T334" i="2"/>
  <c r="A334" i="2"/>
  <c r="T333" i="2"/>
  <c r="A333" i="2"/>
  <c r="T332" i="2"/>
  <c r="A332" i="2"/>
  <c r="T331" i="2"/>
  <c r="A331" i="2"/>
  <c r="T330" i="2"/>
  <c r="A330" i="2"/>
  <c r="T329" i="2"/>
  <c r="A329" i="2"/>
  <c r="T328" i="2"/>
  <c r="A328" i="2"/>
  <c r="T327" i="2"/>
  <c r="A327" i="2"/>
  <c r="T326" i="2"/>
  <c r="A326" i="2"/>
  <c r="T325" i="2"/>
  <c r="A325" i="2"/>
  <c r="T324" i="2"/>
  <c r="A324" i="2"/>
  <c r="T323" i="2"/>
  <c r="A323" i="2"/>
  <c r="T322" i="2"/>
  <c r="A322" i="2"/>
  <c r="T321" i="2"/>
  <c r="A321" i="2"/>
  <c r="T320" i="2"/>
  <c r="A320" i="2"/>
  <c r="T319" i="2"/>
  <c r="A319" i="2"/>
  <c r="T318" i="2"/>
  <c r="A318" i="2"/>
  <c r="T317" i="2"/>
  <c r="A317" i="2"/>
  <c r="T316" i="2"/>
  <c r="A316" i="2"/>
  <c r="T315" i="2"/>
  <c r="A315" i="2"/>
  <c r="T314" i="2"/>
  <c r="A314" i="2"/>
  <c r="T313" i="2"/>
  <c r="A313" i="2"/>
  <c r="T312" i="2"/>
  <c r="A312" i="2"/>
  <c r="T311" i="2"/>
  <c r="A311" i="2"/>
  <c r="T310" i="2"/>
  <c r="A310" i="2"/>
  <c r="T309" i="2"/>
  <c r="A309" i="2"/>
  <c r="T308" i="2"/>
  <c r="A308" i="2"/>
  <c r="T307" i="2"/>
  <c r="A307" i="2"/>
  <c r="T306" i="2"/>
  <c r="A306" i="2"/>
  <c r="T305" i="2"/>
  <c r="A305" i="2"/>
  <c r="T304" i="2"/>
  <c r="A304" i="2"/>
  <c r="T303" i="2"/>
  <c r="A303" i="2"/>
  <c r="T302" i="2"/>
  <c r="A302" i="2"/>
  <c r="T301" i="2"/>
  <c r="A301" i="2"/>
  <c r="T300" i="2"/>
  <c r="A300" i="2"/>
  <c r="T299" i="2"/>
  <c r="A299" i="2"/>
  <c r="T298" i="2"/>
  <c r="A298" i="2"/>
  <c r="T297" i="2"/>
  <c r="A297" i="2"/>
  <c r="T296" i="2"/>
  <c r="A296" i="2"/>
  <c r="T295" i="2"/>
  <c r="A295" i="2"/>
  <c r="T294" i="2"/>
  <c r="A294" i="2"/>
  <c r="T293" i="2"/>
  <c r="A293" i="2"/>
  <c r="T292" i="2"/>
  <c r="A292" i="2"/>
  <c r="T291" i="2"/>
  <c r="A291" i="2"/>
  <c r="T290" i="2"/>
  <c r="A290" i="2"/>
  <c r="T289" i="2"/>
  <c r="A289" i="2"/>
  <c r="T288" i="2"/>
  <c r="A288" i="2"/>
  <c r="T287" i="2"/>
  <c r="A287" i="2"/>
  <c r="T286" i="2"/>
  <c r="A286" i="2"/>
  <c r="T285" i="2"/>
  <c r="A285" i="2"/>
  <c r="T284" i="2"/>
  <c r="A284" i="2"/>
  <c r="T283" i="2"/>
  <c r="A283" i="2"/>
  <c r="T282" i="2"/>
  <c r="A282" i="2"/>
  <c r="T281" i="2"/>
  <c r="A281" i="2"/>
  <c r="T280" i="2"/>
  <c r="A280" i="2"/>
  <c r="T279" i="2"/>
  <c r="A279" i="2"/>
  <c r="T278" i="2"/>
  <c r="A278" i="2"/>
  <c r="T277" i="2"/>
  <c r="A277" i="2"/>
  <c r="T276" i="2"/>
  <c r="A276" i="2"/>
  <c r="T275" i="2"/>
  <c r="A275" i="2"/>
  <c r="T274" i="2"/>
  <c r="A274" i="2"/>
  <c r="T273" i="2"/>
  <c r="A273" i="2"/>
  <c r="T272" i="2"/>
  <c r="A272" i="2"/>
  <c r="T271" i="2"/>
  <c r="A271" i="2"/>
  <c r="T270" i="2"/>
  <c r="A270" i="2"/>
  <c r="T269" i="2"/>
  <c r="A269" i="2"/>
  <c r="T268" i="2"/>
  <c r="A268" i="2"/>
  <c r="T267" i="2"/>
  <c r="A267" i="2"/>
  <c r="T266" i="2"/>
  <c r="A266" i="2"/>
  <c r="T265" i="2"/>
  <c r="A265" i="2"/>
  <c r="T264" i="2"/>
  <c r="A264" i="2"/>
  <c r="T263" i="2"/>
  <c r="A263" i="2"/>
  <c r="T262" i="2"/>
  <c r="A262" i="2"/>
  <c r="T261" i="2"/>
  <c r="A261" i="2"/>
  <c r="T260" i="2"/>
  <c r="A260" i="2"/>
  <c r="T259" i="2"/>
  <c r="A259" i="2"/>
  <c r="T258" i="2"/>
  <c r="A258" i="2"/>
  <c r="T257" i="2"/>
  <c r="A257" i="2"/>
  <c r="T256" i="2"/>
  <c r="A256" i="2"/>
  <c r="T255" i="2"/>
  <c r="A255" i="2"/>
  <c r="T254" i="2"/>
  <c r="A254" i="2"/>
  <c r="T253" i="2"/>
  <c r="A253" i="2"/>
  <c r="T252" i="2"/>
  <c r="A252" i="2"/>
  <c r="T251" i="2"/>
  <c r="A251" i="2"/>
  <c r="T250" i="2"/>
  <c r="A250" i="2"/>
  <c r="T249" i="2"/>
  <c r="A249" i="2"/>
  <c r="T248" i="2"/>
  <c r="A248" i="2"/>
  <c r="T247" i="2"/>
  <c r="A247" i="2"/>
  <c r="T246" i="2"/>
  <c r="A246" i="2"/>
  <c r="T245" i="2"/>
  <c r="A245" i="2"/>
  <c r="T244" i="2"/>
  <c r="A244" i="2"/>
  <c r="T243" i="2"/>
  <c r="A243" i="2"/>
  <c r="T242" i="2"/>
  <c r="A242" i="2"/>
  <c r="T241" i="2"/>
  <c r="A241" i="2"/>
  <c r="T240" i="2"/>
  <c r="A240" i="2"/>
  <c r="T239" i="2"/>
  <c r="A239" i="2"/>
  <c r="T238" i="2"/>
  <c r="A238" i="2"/>
  <c r="T237" i="2"/>
  <c r="A237" i="2"/>
  <c r="T236" i="2"/>
  <c r="A236" i="2"/>
  <c r="T235" i="2"/>
  <c r="A235" i="2"/>
  <c r="T234" i="2"/>
  <c r="A234" i="2"/>
  <c r="T233" i="2"/>
  <c r="A233" i="2"/>
  <c r="T232" i="2"/>
  <c r="A232" i="2"/>
  <c r="T231" i="2"/>
  <c r="A231" i="2"/>
  <c r="T230" i="2"/>
  <c r="A230" i="2"/>
  <c r="T229" i="2"/>
  <c r="A229" i="2"/>
  <c r="T228" i="2"/>
  <c r="A228" i="2"/>
  <c r="T227" i="2"/>
  <c r="A227" i="2"/>
  <c r="T226" i="2"/>
  <c r="A226" i="2"/>
  <c r="T225" i="2"/>
  <c r="A225" i="2"/>
  <c r="T224" i="2"/>
  <c r="A224" i="2"/>
  <c r="T223" i="2"/>
  <c r="A223" i="2"/>
  <c r="T222" i="2"/>
  <c r="A222" i="2"/>
  <c r="T221" i="2"/>
  <c r="A221" i="2"/>
  <c r="T220" i="2"/>
  <c r="A220" i="2"/>
  <c r="T219" i="2"/>
  <c r="A219" i="2"/>
  <c r="T218" i="2"/>
  <c r="A218" i="2"/>
  <c r="T217" i="2"/>
  <c r="A217" i="2"/>
  <c r="T216" i="2"/>
  <c r="A216" i="2"/>
  <c r="T215" i="2"/>
  <c r="A215" i="2"/>
  <c r="T214" i="2"/>
  <c r="A214" i="2"/>
  <c r="T213" i="2"/>
  <c r="A213" i="2"/>
  <c r="T212" i="2"/>
  <c r="A212" i="2"/>
  <c r="T211" i="2"/>
  <c r="A211" i="2"/>
  <c r="T210" i="2"/>
  <c r="A210" i="2"/>
  <c r="T209" i="2"/>
  <c r="A209" i="2"/>
  <c r="T208" i="2"/>
  <c r="A208" i="2"/>
  <c r="T207" i="2"/>
  <c r="A207" i="2"/>
  <c r="T206" i="2"/>
  <c r="A206" i="2"/>
  <c r="T205" i="2"/>
  <c r="A205" i="2"/>
  <c r="T204" i="2"/>
  <c r="A204" i="2"/>
  <c r="T203" i="2"/>
  <c r="A203" i="2"/>
  <c r="T202" i="2"/>
  <c r="A202" i="2"/>
  <c r="T201" i="2"/>
  <c r="A201" i="2"/>
  <c r="T200" i="2"/>
  <c r="A200" i="2"/>
  <c r="T199" i="2"/>
  <c r="A199" i="2"/>
  <c r="T198" i="2"/>
  <c r="A198" i="2"/>
  <c r="T197" i="2"/>
  <c r="A197" i="2"/>
  <c r="T196" i="2"/>
  <c r="A196" i="2"/>
  <c r="T195" i="2"/>
  <c r="A195" i="2"/>
  <c r="T194" i="2"/>
  <c r="A194" i="2"/>
  <c r="T193" i="2"/>
  <c r="A193" i="2"/>
  <c r="T192" i="2"/>
  <c r="A192" i="2"/>
  <c r="T191" i="2"/>
  <c r="A191" i="2"/>
  <c r="T190" i="2"/>
  <c r="A190" i="2"/>
  <c r="T189" i="2"/>
  <c r="A189" i="2"/>
  <c r="T188" i="2"/>
  <c r="A188" i="2"/>
  <c r="T187" i="2"/>
  <c r="A187" i="2"/>
  <c r="T186" i="2"/>
  <c r="A186" i="2"/>
  <c r="T185" i="2"/>
  <c r="A185" i="2"/>
  <c r="T184" i="2"/>
  <c r="A184" i="2"/>
  <c r="T183" i="2"/>
  <c r="A183" i="2"/>
  <c r="T182" i="2"/>
  <c r="A182" i="2"/>
  <c r="T181" i="2"/>
  <c r="A181" i="2"/>
  <c r="T180" i="2"/>
  <c r="A180" i="2"/>
  <c r="T179" i="2"/>
  <c r="A179" i="2"/>
  <c r="T178" i="2"/>
  <c r="A178" i="2"/>
  <c r="T177" i="2"/>
  <c r="A177" i="2"/>
  <c r="T176" i="2"/>
  <c r="A176" i="2"/>
  <c r="T175" i="2"/>
  <c r="A175" i="2"/>
  <c r="T174" i="2"/>
  <c r="A174" i="2"/>
  <c r="T173" i="2"/>
  <c r="A173" i="2"/>
  <c r="T172" i="2"/>
  <c r="A172" i="2"/>
  <c r="T171" i="2"/>
  <c r="A171" i="2"/>
  <c r="T170" i="2"/>
  <c r="A170" i="2"/>
  <c r="T169" i="2"/>
  <c r="A169" i="2"/>
  <c r="T168" i="2"/>
  <c r="A168" i="2"/>
  <c r="T167" i="2"/>
  <c r="A167" i="2"/>
  <c r="T166" i="2"/>
  <c r="A166" i="2"/>
  <c r="T165" i="2"/>
  <c r="A165" i="2"/>
  <c r="T164" i="2"/>
  <c r="A164" i="2"/>
  <c r="T163" i="2"/>
  <c r="A163" i="2"/>
  <c r="T162" i="2"/>
  <c r="A162" i="2"/>
  <c r="T161" i="2"/>
  <c r="A161" i="2"/>
  <c r="T160" i="2"/>
  <c r="A160" i="2"/>
  <c r="T159" i="2"/>
  <c r="A159" i="2"/>
  <c r="T158" i="2"/>
  <c r="A158" i="2"/>
  <c r="T157" i="2"/>
  <c r="A157" i="2"/>
  <c r="T156" i="2"/>
  <c r="A156" i="2"/>
  <c r="T155" i="2"/>
  <c r="A155" i="2"/>
  <c r="T154" i="2"/>
  <c r="A154" i="2"/>
  <c r="T153" i="2"/>
  <c r="A153" i="2"/>
  <c r="T152" i="2"/>
  <c r="A152" i="2"/>
  <c r="T151" i="2"/>
  <c r="A151" i="2"/>
  <c r="T150" i="2"/>
  <c r="A150" i="2"/>
  <c r="T149" i="2"/>
  <c r="A149" i="2"/>
  <c r="T148" i="2"/>
  <c r="A148" i="2"/>
  <c r="T147" i="2"/>
  <c r="A147" i="2"/>
  <c r="T146" i="2"/>
  <c r="A146" i="2"/>
  <c r="T145" i="2"/>
  <c r="A145" i="2"/>
  <c r="T144" i="2"/>
  <c r="A144" i="2"/>
  <c r="T143" i="2"/>
  <c r="A143" i="2"/>
  <c r="T142" i="2"/>
  <c r="A142" i="2"/>
  <c r="T141" i="2"/>
  <c r="A141" i="2"/>
  <c r="T140" i="2"/>
  <c r="A140" i="2"/>
  <c r="T139" i="2"/>
  <c r="A139" i="2"/>
  <c r="T138" i="2"/>
  <c r="A138" i="2"/>
  <c r="T137" i="2"/>
  <c r="A137" i="2"/>
  <c r="T136" i="2"/>
  <c r="A136" i="2"/>
  <c r="T135" i="2"/>
  <c r="A135" i="2"/>
  <c r="T134" i="2"/>
  <c r="A134" i="2"/>
  <c r="T133" i="2"/>
  <c r="A133" i="2"/>
  <c r="T132" i="2"/>
  <c r="A132" i="2"/>
  <c r="T131" i="2"/>
  <c r="A131" i="2"/>
  <c r="T130" i="2"/>
  <c r="A130" i="2"/>
  <c r="T129" i="2"/>
  <c r="A129" i="2"/>
  <c r="T128" i="2"/>
  <c r="A128" i="2"/>
  <c r="T127" i="2"/>
  <c r="A127" i="2"/>
  <c r="T126" i="2"/>
  <c r="A126" i="2"/>
  <c r="T125" i="2"/>
  <c r="A125" i="2"/>
  <c r="T124" i="2"/>
  <c r="A124" i="2"/>
  <c r="T123" i="2"/>
  <c r="A123" i="2"/>
  <c r="T122" i="2"/>
  <c r="A122" i="2"/>
  <c r="T121" i="2"/>
  <c r="A121" i="2"/>
  <c r="T120" i="2"/>
  <c r="A120" i="2"/>
  <c r="T119" i="2"/>
  <c r="A119" i="2"/>
  <c r="T118" i="2"/>
  <c r="A118" i="2"/>
  <c r="T117" i="2"/>
  <c r="A117" i="2"/>
  <c r="T116" i="2"/>
  <c r="A116" i="2"/>
  <c r="T115" i="2"/>
  <c r="A115" i="2"/>
  <c r="T114" i="2"/>
  <c r="A114" i="2"/>
  <c r="T113" i="2"/>
  <c r="A113" i="2"/>
  <c r="T112" i="2"/>
  <c r="A112" i="2"/>
  <c r="T111" i="2"/>
  <c r="A111" i="2"/>
  <c r="T110" i="2"/>
  <c r="A110" i="2"/>
  <c r="T109" i="2"/>
  <c r="A109" i="2"/>
  <c r="T108" i="2"/>
  <c r="A108" i="2"/>
  <c r="T107" i="2"/>
  <c r="A107" i="2"/>
  <c r="T106" i="2"/>
  <c r="A106" i="2"/>
  <c r="T105" i="2"/>
  <c r="A105" i="2"/>
  <c r="T104" i="2"/>
  <c r="A104" i="2"/>
  <c r="T103" i="2"/>
  <c r="A103" i="2"/>
  <c r="T102" i="2"/>
  <c r="A102" i="2"/>
  <c r="T101" i="2"/>
  <c r="A101" i="2"/>
  <c r="T100" i="2"/>
  <c r="A100" i="2"/>
  <c r="T99" i="2"/>
  <c r="A99" i="2"/>
  <c r="T98" i="2"/>
  <c r="A98" i="2"/>
  <c r="T97" i="2"/>
  <c r="A97" i="2"/>
  <c r="T96" i="2"/>
  <c r="A96" i="2"/>
  <c r="T95" i="2"/>
  <c r="A95" i="2"/>
  <c r="T94" i="2"/>
  <c r="A94" i="2"/>
  <c r="T93" i="2"/>
  <c r="A93" i="2"/>
  <c r="T92" i="2"/>
  <c r="A92" i="2"/>
  <c r="T91" i="2"/>
  <c r="A91" i="2"/>
  <c r="T90" i="2"/>
  <c r="A90" i="2"/>
  <c r="T89" i="2"/>
  <c r="A89" i="2"/>
  <c r="T88" i="2"/>
  <c r="A88" i="2"/>
  <c r="T87" i="2"/>
  <c r="A87" i="2"/>
  <c r="T86" i="2"/>
  <c r="A86" i="2"/>
  <c r="T85" i="2"/>
  <c r="A85" i="2"/>
  <c r="T84" i="2"/>
  <c r="A84" i="2"/>
  <c r="T83" i="2"/>
  <c r="A83" i="2"/>
  <c r="T82" i="2"/>
  <c r="A82" i="2"/>
  <c r="T81" i="2"/>
  <c r="A81" i="2"/>
  <c r="T80" i="2"/>
  <c r="A80" i="2"/>
  <c r="T79" i="2"/>
  <c r="A79" i="2"/>
  <c r="T78" i="2"/>
  <c r="A78" i="2"/>
  <c r="T77" i="2"/>
  <c r="A77" i="2"/>
  <c r="T76" i="2"/>
  <c r="A76" i="2"/>
  <c r="T75" i="2"/>
  <c r="A75" i="2"/>
  <c r="T74" i="2"/>
  <c r="A74" i="2"/>
  <c r="T73" i="2"/>
  <c r="A73" i="2"/>
  <c r="T72" i="2"/>
  <c r="A72" i="2"/>
  <c r="T71" i="2"/>
  <c r="A71" i="2"/>
  <c r="T70" i="2"/>
  <c r="A70" i="2"/>
  <c r="T69" i="2"/>
  <c r="A69" i="2"/>
  <c r="T68" i="2"/>
  <c r="A68" i="2"/>
  <c r="T67" i="2"/>
  <c r="A67" i="2"/>
  <c r="T66" i="2"/>
  <c r="A66" i="2"/>
  <c r="T65" i="2"/>
  <c r="A65" i="2"/>
  <c r="T64" i="2"/>
  <c r="A64" i="2"/>
  <c r="T63" i="2"/>
  <c r="A63" i="2"/>
  <c r="T62" i="2"/>
  <c r="A62" i="2"/>
  <c r="T61" i="2"/>
  <c r="A61" i="2"/>
  <c r="T60" i="2"/>
  <c r="A60" i="2"/>
  <c r="T59" i="2"/>
  <c r="A59" i="2"/>
  <c r="T58" i="2"/>
  <c r="A58" i="2"/>
  <c r="T57" i="2"/>
  <c r="A57" i="2"/>
  <c r="T56" i="2"/>
  <c r="A56" i="2"/>
  <c r="T55" i="2"/>
  <c r="A55" i="2"/>
  <c r="T54" i="2"/>
  <c r="A54" i="2"/>
  <c r="T53" i="2"/>
  <c r="A53" i="2"/>
  <c r="T52" i="2"/>
  <c r="A52" i="2"/>
  <c r="T51" i="2"/>
  <c r="A51" i="2"/>
  <c r="T50" i="2"/>
  <c r="A50" i="2"/>
  <c r="T49" i="2"/>
  <c r="A49" i="2"/>
  <c r="T48" i="2"/>
  <c r="A48" i="2"/>
  <c r="T47" i="2"/>
  <c r="A47" i="2"/>
  <c r="T46" i="2"/>
  <c r="A46" i="2"/>
  <c r="T45" i="2"/>
  <c r="A45" i="2"/>
  <c r="T44" i="2"/>
  <c r="A44" i="2"/>
  <c r="T43" i="2"/>
  <c r="A43" i="2"/>
  <c r="T42" i="2"/>
  <c r="A42" i="2"/>
  <c r="T41" i="2"/>
  <c r="A41" i="2"/>
  <c r="T40" i="2"/>
  <c r="A40" i="2"/>
  <c r="T39" i="2"/>
  <c r="A39" i="2"/>
  <c r="T38" i="2"/>
  <c r="A38" i="2"/>
  <c r="T37" i="2"/>
  <c r="A37" i="2"/>
  <c r="T36" i="2"/>
  <c r="A36" i="2"/>
  <c r="T35" i="2"/>
  <c r="A35" i="2"/>
  <c r="T34" i="2"/>
  <c r="A34" i="2"/>
  <c r="T33" i="2"/>
  <c r="A33" i="2"/>
  <c r="T32" i="2"/>
  <c r="A32" i="2"/>
  <c r="T31" i="2"/>
  <c r="A31" i="2"/>
  <c r="T30" i="2"/>
  <c r="A30" i="2"/>
  <c r="T29" i="2"/>
  <c r="A29" i="2"/>
  <c r="T28" i="2"/>
  <c r="A28" i="2"/>
  <c r="T27" i="2"/>
  <c r="A27" i="2"/>
  <c r="T26" i="2"/>
  <c r="A26" i="2"/>
  <c r="T25" i="2"/>
  <c r="A25" i="2"/>
  <c r="T24" i="2"/>
  <c r="A24" i="2"/>
  <c r="T23" i="2"/>
  <c r="A23" i="2"/>
  <c r="T22" i="2"/>
  <c r="A22" i="2"/>
  <c r="T21" i="2"/>
  <c r="A21" i="2"/>
  <c r="T20" i="2"/>
  <c r="A20" i="2"/>
  <c r="T19" i="2"/>
  <c r="A19" i="2"/>
  <c r="T18" i="2"/>
  <c r="A18" i="2"/>
  <c r="T17" i="2"/>
  <c r="A17" i="2"/>
  <c r="T16" i="2"/>
  <c r="A16" i="2"/>
  <c r="T15" i="2"/>
  <c r="A15" i="2"/>
  <c r="T14" i="2"/>
  <c r="A14" i="2"/>
  <c r="T13" i="2"/>
  <c r="A13" i="2"/>
  <c r="T12" i="2"/>
  <c r="A12" i="2"/>
  <c r="T11" i="2"/>
  <c r="A11" i="2"/>
  <c r="T10" i="2"/>
  <c r="A10" i="2"/>
  <c r="T9" i="2"/>
  <c r="A9" i="2"/>
  <c r="T8" i="2"/>
  <c r="A8" i="2"/>
  <c r="T7" i="2"/>
  <c r="A7" i="2"/>
  <c r="T6" i="2"/>
  <c r="A6" i="2"/>
  <c r="T5" i="2"/>
  <c r="A5" i="2"/>
</calcChain>
</file>

<file path=xl/sharedStrings.xml><?xml version="1.0" encoding="utf-8"?>
<sst xmlns="http://schemas.openxmlformats.org/spreadsheetml/2006/main" count="1141" uniqueCount="600">
  <si>
    <t>4. etapa hodnocení</t>
  </si>
  <si>
    <t>Pilíř I</t>
  </si>
  <si>
    <t>Pilíř II - ERC granty</t>
  </si>
  <si>
    <t>Pilíř II - excelentní výsledky</t>
  </si>
  <si>
    <t>Pilíř III</t>
  </si>
  <si>
    <t>Výsledky aplikovaného výzkumu 2010-2011, pilíř III 2012-2013</t>
  </si>
  <si>
    <t>Celkem</t>
  </si>
  <si>
    <t>IČO</t>
  </si>
  <si>
    <t>Název instituce</t>
  </si>
  <si>
    <t>Kód organizační jednotky</t>
  </si>
  <si>
    <t>Název organizační jednotky</t>
  </si>
  <si>
    <t>Počet výsledků s kladným bodovým ohodnocením</t>
  </si>
  <si>
    <t>Body výsledků</t>
  </si>
  <si>
    <t>Body upravené podle příl. č. 8 Metodiky</t>
  </si>
  <si>
    <t>Počet ERC grantů zjištěných</t>
  </si>
  <si>
    <t>Počet ERC grantů započtených</t>
  </si>
  <si>
    <t>Započtená bonifikace</t>
  </si>
  <si>
    <t>Alokovaná kvóta výsledků na VO</t>
  </si>
  <si>
    <t>Počet výsledků v kategorii "A"</t>
  </si>
  <si>
    <t>Bodové skóre v předešlém roce</t>
  </si>
  <si>
    <t>Bodové skóre v aktuálním roce</t>
  </si>
  <si>
    <t>Body za patenty, odrůdy a plemena</t>
  </si>
  <si>
    <t>Upravené body za patenty, odrůdy a plemena</t>
  </si>
  <si>
    <t>Body za projekty aplikovaného výzkumu a smluvní výzkum</t>
  </si>
  <si>
    <t>Celkové body ve III. Pilíři</t>
  </si>
  <si>
    <t>Upravené body výsledků</t>
  </si>
  <si>
    <t>ACCENDO - Centrum pro vědu a výzkum, z.ú.</t>
  </si>
  <si>
    <t>Agritec Plant Research s.r.o.</t>
  </si>
  <si>
    <t>Agrotest fyto, s.r.o.</t>
  </si>
  <si>
    <t>Agrovýzkum Rapotín s.r.o.</t>
  </si>
  <si>
    <t>Akademie múzických umění v Praze</t>
  </si>
  <si>
    <t>Akademie výtvarných umění v Praze</t>
  </si>
  <si>
    <t>Akademie, o.p.s.</t>
  </si>
  <si>
    <t>ALKA Wildlife, o.p.s.</t>
  </si>
  <si>
    <t>ALTA MINERALS, a.s.</t>
  </si>
  <si>
    <t>ARCHAIA Brno o.p.s.</t>
  </si>
  <si>
    <t>Archeologické centrum Olomouc, příspěvková organizace</t>
  </si>
  <si>
    <t>Archeologický ústav AV ČR, Brno, v. v. i.</t>
  </si>
  <si>
    <t>Archeologický ústav AV ČR, Praha, v. v. i.</t>
  </si>
  <si>
    <t>Archiv bezpečnostních složek</t>
  </si>
  <si>
    <t>Astronomický ústav AV ČR, v. v. i.</t>
  </si>
  <si>
    <t>BIC Brno, spol. s r. o.</t>
  </si>
  <si>
    <t>Biofyzikální ústav AV ČR, v. v. i.</t>
  </si>
  <si>
    <t>Biologické centrum AV ČR, v. v. i.</t>
  </si>
  <si>
    <t>Biotechnologický ústav AV ČR, v. v. i.</t>
  </si>
  <si>
    <t>Botanický ústav AV ČR, v. v. i.</t>
  </si>
  <si>
    <t>CASRI - vědecké a servisní pracoviště tělesné výchovy</t>
  </si>
  <si>
    <t>CENIA, česká informační agentura životního prostředí</t>
  </si>
  <si>
    <t>Centrum dopravního výzkumu, v.v.i.</t>
  </si>
  <si>
    <t>Centrum ekonomických studií Vysoké školy ekonomie a managementu, o.p.s.</t>
  </si>
  <si>
    <t>Centrum hydraulického výzkumu spol. s r.o.</t>
  </si>
  <si>
    <t>Centrum kardiovaskulární a transplantační chirurgie</t>
  </si>
  <si>
    <t>Centrum organické chemie s.r.o.</t>
  </si>
  <si>
    <t>Centrum pro bezpečný stát o.s.</t>
  </si>
  <si>
    <t>Centrum pro studium vysokého školství, v.v.i.</t>
  </si>
  <si>
    <t>Centrum výzkumu globální změny AV ČR, v. v. i.</t>
  </si>
  <si>
    <t>Centrum výzkumu Řež s.r.o.</t>
  </si>
  <si>
    <t>CESNET - zájmové sdružení právnických osob</t>
  </si>
  <si>
    <t>COMTES FHT a.s.</t>
  </si>
  <si>
    <t>CZECHDESIGN.CZ, z. s.</t>
  </si>
  <si>
    <t>Česká geologická služba</t>
  </si>
  <si>
    <t>Česká kosmická kancelář o.p.s.</t>
  </si>
  <si>
    <t>Česká zemědělská univerzita v Praze</t>
  </si>
  <si>
    <t>České vysoké učení technické v Praze</t>
  </si>
  <si>
    <t>Český metrologický institut</t>
  </si>
  <si>
    <t>Endokrinologický ústav</t>
  </si>
  <si>
    <t>ENKI, o.p.s.</t>
  </si>
  <si>
    <t>Etnologický ústav AV ČR, v. v. i.</t>
  </si>
  <si>
    <t>Fakultní nemocnice Brno</t>
  </si>
  <si>
    <t>Fakultní nemocnice Hradec Králové</t>
  </si>
  <si>
    <t>Fakultní nemocnice Královské Vinohrady</t>
  </si>
  <si>
    <t>Fakultní nemocnice Olomouc</t>
  </si>
  <si>
    <t>Fakultní nemocnice Ostrava</t>
  </si>
  <si>
    <t>Fakultní nemocnice Plzeň</t>
  </si>
  <si>
    <t>Fakultní nemocnice u sv. Anny v Brně</t>
  </si>
  <si>
    <t>Fakultní nemocnice v Motole</t>
  </si>
  <si>
    <t>Filosofický ústav AV ČR, v. v. i.</t>
  </si>
  <si>
    <t>Fyzikální ústav AV ČR, v. v. i.</t>
  </si>
  <si>
    <t>Fyziologický ústav AV ČR, v. v. i.</t>
  </si>
  <si>
    <t>GaREP, spol. s r.o.</t>
  </si>
  <si>
    <t>Geofyzikální ústav AV ČR, v. v. i.</t>
  </si>
  <si>
    <t>Geologický ústav AV ČR, v. v. i.</t>
  </si>
  <si>
    <t>Historický ústav AV ČR, v. v. i.</t>
  </si>
  <si>
    <t>Husitské muzeum v Táboře</t>
  </si>
  <si>
    <t>Chmelařský institut s.r.o.</t>
  </si>
  <si>
    <t>INESAN, s.r.o.</t>
  </si>
  <si>
    <t>Institut klinické a experimentální mediciny</t>
  </si>
  <si>
    <t>Institut postgraduálního vzdělávání ve zdravotnictví</t>
  </si>
  <si>
    <t>Institut pro kriminologii a sociální prevenci</t>
  </si>
  <si>
    <t>Institut umění - Divadelní ústav</t>
  </si>
  <si>
    <t>Intemac Solutions, s.r.o.</t>
  </si>
  <si>
    <t>Inženýrská akademie České republiky, o.s.</t>
  </si>
  <si>
    <t>Janáčkova akademie múzických umění v Brně</t>
  </si>
  <si>
    <t>Jihočeská univerzita v Českých Budějovicích</t>
  </si>
  <si>
    <t>Knihovna AV ČR, v. v. i.</t>
  </si>
  <si>
    <t>Masarykova univerzita</t>
  </si>
  <si>
    <t>Masarykův onkologický ústav</t>
  </si>
  <si>
    <t>Masarykův ústav a Archiv AV ČR, v. v. i.</t>
  </si>
  <si>
    <t>Matematický ústav AV ČR, v. v. i.</t>
  </si>
  <si>
    <t>MATERIÁLOVÝ A METALURGICKÝ VÝZKUM s.r.o.</t>
  </si>
  <si>
    <t>MemBrain s.r.o.</t>
  </si>
  <si>
    <t>Mendelova univerzita v Brně</t>
  </si>
  <si>
    <t>METCENAS, o.p.s.</t>
  </si>
  <si>
    <t>Metropolitní univerzita Praha, o.p.s.</t>
  </si>
  <si>
    <t>Mikrobiologický ústav AV ČR, v. v. i.</t>
  </si>
  <si>
    <t>Mikropur, s.r.o.</t>
  </si>
  <si>
    <t>Ministerstvo obrany - Univerzita obrany</t>
  </si>
  <si>
    <t>Ministerstvo vnitra</t>
  </si>
  <si>
    <t>Moravská galerie v Brně</t>
  </si>
  <si>
    <t>Moravská zemská knihovna v Brně</t>
  </si>
  <si>
    <t>Moravské zemské muzeum</t>
  </si>
  <si>
    <t>Muzeum východních Čech v Hradci Králové</t>
  </si>
  <si>
    <t>Muzeum Vysočiny Jihlava, příspěvková organizace</t>
  </si>
  <si>
    <t>Národní archiv</t>
  </si>
  <si>
    <t>Národní filmový archiv</t>
  </si>
  <si>
    <t>Národní galerie v Praze</t>
  </si>
  <si>
    <t>Národní informační a poradenské středisko pro kulturu</t>
  </si>
  <si>
    <t>Národní knihovna České republiky</t>
  </si>
  <si>
    <t>Národní lékařská knihovna</t>
  </si>
  <si>
    <t>Národní muzeum</t>
  </si>
  <si>
    <t>Národní památkový ústav</t>
  </si>
  <si>
    <t>Národní pedagogické muzeum a knihovna J. A. Komenského</t>
  </si>
  <si>
    <t>Národní technická knihovna</t>
  </si>
  <si>
    <t>Národní technické museum</t>
  </si>
  <si>
    <t>Národní ústav duševního zdraví</t>
  </si>
  <si>
    <t>Národní ústav lidové kultury</t>
  </si>
  <si>
    <t>Národní zemědělské muzeum Praha</t>
  </si>
  <si>
    <t>Národohospodářský ústav AV ČR, v. v. i.</t>
  </si>
  <si>
    <t>Nemocnice Na Bulovce</t>
  </si>
  <si>
    <t>Nemocnice Na Homolce</t>
  </si>
  <si>
    <t>NEWTON College, a.s.</t>
  </si>
  <si>
    <t>Orientální ústav AV ČR, v. v. i.</t>
  </si>
  <si>
    <t>OSEVA vývoj a výzkum s.r.o.</t>
  </si>
  <si>
    <t>Ostravská univerzita v Ostravě</t>
  </si>
  <si>
    <t>Památník národního písemnictví</t>
  </si>
  <si>
    <t>Policejní akademie České republiky v Praze</t>
  </si>
  <si>
    <t>Psychologický ústav AV ČR, v. v. i.</t>
  </si>
  <si>
    <t>Revmatologický ústav</t>
  </si>
  <si>
    <t>Slezská univerzita v Opavě</t>
  </si>
  <si>
    <t>Slezské zemské muzeum</t>
  </si>
  <si>
    <t>Slovanský ústav AV ČR, v. v. i.</t>
  </si>
  <si>
    <t>SocioFactor s.r.o.</t>
  </si>
  <si>
    <t>Sociologický ústav AV ČR, v. v. i.</t>
  </si>
  <si>
    <t>Státní ústav jaderné, chemické a biologické ochrany, v.v.i.</t>
  </si>
  <si>
    <t>Státní ústav radiační ochrany, v.v.i.</t>
  </si>
  <si>
    <t>Státní zdravotní ústav se sídlem v Praze</t>
  </si>
  <si>
    <t>Středisko společných činností AV ČR, v. v. i.</t>
  </si>
  <si>
    <t>SVÚM a.s.</t>
  </si>
  <si>
    <t>SVÚOM s.r.o.</t>
  </si>
  <si>
    <t>ŠKODA AUTO VYSOKÁ ŠKOLA o.p.s.</t>
  </si>
  <si>
    <t>Technická univerzita v Liberci</t>
  </si>
  <si>
    <t>Technické muzeum v Brně</t>
  </si>
  <si>
    <t>Technologické centrum Akademie věd České republiky</t>
  </si>
  <si>
    <t>Textilní zkušební ústav, s.p.</t>
  </si>
  <si>
    <t>Thomayerova nemocnice</t>
  </si>
  <si>
    <t>Uměleckoprůmyslové museum v Praze</t>
  </si>
  <si>
    <t>Unipetrol výzkumně vzdělávací centrum, a.s.</t>
  </si>
  <si>
    <t>Univerzita Hradec Králové</t>
  </si>
  <si>
    <t>Univerzita Jana Amose Komenského Praha s.r.o.</t>
  </si>
  <si>
    <t>Univerzita Jana Evangelisty Purkyně v Ústí nad Labem</t>
  </si>
  <si>
    <t>Univerzita Karlova v Praze</t>
  </si>
  <si>
    <t>Univerzita Palackého v Olomouci</t>
  </si>
  <si>
    <t>Univerzita Pardubice</t>
  </si>
  <si>
    <t>Univerzita Tomáše Bati ve Zlíně</t>
  </si>
  <si>
    <t>Ústav  pro studium totalitních režimů</t>
  </si>
  <si>
    <t>Ústav analytické chemie AV ČR, v. v. i.</t>
  </si>
  <si>
    <t>Ústav anorganické chemie AV ČR, v. v. i.</t>
  </si>
  <si>
    <t>Ústav archeologické památkové péče Brno, veřejná výzkumná instituce</t>
  </si>
  <si>
    <t>Ústav archeologické památkové péče severozápadních Čech, v. v. i.</t>
  </si>
  <si>
    <t>Ústav biologie obratlovců AV ČR, v. v. i.</t>
  </si>
  <si>
    <t>Ústav dějin umění AV ČR, v. v. i.</t>
  </si>
  <si>
    <t>Ústav experimentální botaniky AV ČR, v. v. i.</t>
  </si>
  <si>
    <t>Ústav experimentální medicíny AV ČR, v. v. i.</t>
  </si>
  <si>
    <t>Ústav fotoniky a elektroniky AV ČR, v. v. i.</t>
  </si>
  <si>
    <t>Ústav fyzikální chemie J. Heyrovského AV ČR, v. v. i.</t>
  </si>
  <si>
    <t>Ústav fyziky atmosféry AV ČR, v. v. i.</t>
  </si>
  <si>
    <t>Ústav fyziky materiálů AV ČR, v. v. i.</t>
  </si>
  <si>
    <t>Ústav fyziky plazmatu AV ČR, v. v. i.</t>
  </si>
  <si>
    <t>Ústav geoniky AV ČR, v. v. i.</t>
  </si>
  <si>
    <t>Ústav hematologie a krevní transfúze</t>
  </si>
  <si>
    <t>Ústav chemických procesů AV ČR, v. v. i.</t>
  </si>
  <si>
    <t>Ústav informatiky AV ČR, v. v. i.</t>
  </si>
  <si>
    <t>Ústav jaderné fyziky AV ČR, v. v. i.</t>
  </si>
  <si>
    <t>Ústav makromolekulární chemie AV ČR, v. v. i.</t>
  </si>
  <si>
    <t>Ústav mezinárodních vztahů, v.v.i.</t>
  </si>
  <si>
    <t>Ústav molekulární genetiky AV ČR, v. v. i.</t>
  </si>
  <si>
    <t>Ústav organické chemie a biochemie AV ČR, v. v. i.</t>
  </si>
  <si>
    <t>Ústav pro českou literaturu AV ČR, v. v. i.</t>
  </si>
  <si>
    <t>Ústav pro hydrodynamiku AV ČR, v. v. i.</t>
  </si>
  <si>
    <t>Ústav pro jazyk český AV ČR, v. v. i.</t>
  </si>
  <si>
    <t>Ústav pro péči o matku a dítě</t>
  </si>
  <si>
    <t>Ústav pro soudobé dějiny AV ČR, v. v. i.</t>
  </si>
  <si>
    <t>Ústav přístrojové techniky AV ČR, v. v. i.</t>
  </si>
  <si>
    <t>Ústav státu a práva AV ČR, v. v. i.</t>
  </si>
  <si>
    <t>Ústav struktury a mechaniky hornin AV ČR, v. v. i.</t>
  </si>
  <si>
    <t>Ústav teoretické a aplikované mechaniky AV ČR, v. v. i.</t>
  </si>
  <si>
    <t>Ústav teorie informace a automatizace AV ČR, v. v. i.</t>
  </si>
  <si>
    <t>Ústav termomechaniky AV ČR, v. v. i.</t>
  </si>
  <si>
    <t>Ústav zemědělské ekonomiky a informací</t>
  </si>
  <si>
    <t>Ústav živočišné fyziologie a genetiky AV ČR, v. v. i.</t>
  </si>
  <si>
    <t>Ústřední vojenská nemocnice - Vojenská fakultní nemocnice Praha</t>
  </si>
  <si>
    <t>Valašské muzeum v přírodě v Rožnově pod Radhoštěm</t>
  </si>
  <si>
    <t>Veterinární a farmaceutická univerzita Brno</t>
  </si>
  <si>
    <t>VÍTKOVICE ÚAM a.s.</t>
  </si>
  <si>
    <t>Vojenský výzkumný ústav, s.p.</t>
  </si>
  <si>
    <t>Všeobecná fakultní nemocnice v Praze</t>
  </si>
  <si>
    <t>VÚTS, a.s.</t>
  </si>
  <si>
    <t>Vysoká škola báňská - Technická univerzita Ostrava</t>
  </si>
  <si>
    <t>Vysoká škola ekonomická v Praze</t>
  </si>
  <si>
    <t>Vysoká škola ekonomie a managementu, o.p.s.</t>
  </si>
  <si>
    <t>Vysoká škola evropských a regionálních studií, o.p.s.</t>
  </si>
  <si>
    <t>Vysoká škola finanční a správní, a.s.</t>
  </si>
  <si>
    <t>Vysoká škola hotelová v Praze 8, spol. s r.o.</t>
  </si>
  <si>
    <t>Vysoká škola chemicko-technologická v Praze</t>
  </si>
  <si>
    <t>Vysoká škola polytechnická Jihlava</t>
  </si>
  <si>
    <t>Vysoká škola technická a ekonomická v Českých Budějovicích</t>
  </si>
  <si>
    <t>Vysoká škola tělesné výchovy a sportu PALESTRA, spol. s r.o.</t>
  </si>
  <si>
    <t>Vysoká škola umělecko-průmyslová v Praze</t>
  </si>
  <si>
    <t>Vysoké učení technické v Brně</t>
  </si>
  <si>
    <t>Výzkumné centrum SELTON, s.r.o.</t>
  </si>
  <si>
    <t>Výzkumný a šlechtitelský ústav ovocnářský Holovousy s.r.o.</t>
  </si>
  <si>
    <t>Výzkumný a zkušební letecký ústav, a.s.</t>
  </si>
  <si>
    <t>Výzkumný a zkušební ústav Plzeň s.r.o.</t>
  </si>
  <si>
    <t>Výzkumný ústav bezpečnosti práce, v.v.i.</t>
  </si>
  <si>
    <t>Výzkumný ústav bramborářský Havlíčkův Brod, s.r.o.</t>
  </si>
  <si>
    <t>Výzkumný ústav geodetický, topografický a kartografický, v. v. i.</t>
  </si>
  <si>
    <t>Výzkumný ústav lesního hospodářství a myslivosti, v.v.i.</t>
  </si>
  <si>
    <t>Výzkumný ústav meliorací a ochrany půdy, v.v.i.</t>
  </si>
  <si>
    <t>Výzkumný ústav mlékárenský s.r.o.</t>
  </si>
  <si>
    <t>Výzkumný ústav pivovarský a sladařský, a.s.</t>
  </si>
  <si>
    <t>Výzkumný ústav potravinářský Praha, v.v.i.</t>
  </si>
  <si>
    <t>Výzkumný ústav práce a sociálních věcí, v.v.i.</t>
  </si>
  <si>
    <t>Výzkumný ústav rostlinné výroby, v.v.i.</t>
  </si>
  <si>
    <t>Výzkumný ústav Silva Taroucy pro krajinu a okrasné zahradnictví, v.v.i.</t>
  </si>
  <si>
    <t>Výzkumný ústav stavebních hmot,a.s.</t>
  </si>
  <si>
    <t>Výzkumný ústav veterinárního lékařství, v.v.i.</t>
  </si>
  <si>
    <t>Výzkumný ústav vodohospodářský T. G. Masaryka veřejná výzkumná instituce</t>
  </si>
  <si>
    <t>Výzkumný ústav zemědělské techniky, v.v.i.</t>
  </si>
  <si>
    <t>Výzkumný ústav živočišné výroby, v.v.i.</t>
  </si>
  <si>
    <t>Západočeská galerie v Plzni, příspěvková organizace</t>
  </si>
  <si>
    <t>Západočeská univerzita v Plzni</t>
  </si>
  <si>
    <t>Západočeské muzeum v Plzni, příspěvková organizace</t>
  </si>
  <si>
    <t>Zemědělský výzkum, spol. s r.o.</t>
  </si>
  <si>
    <t>Židovské muzeum v Praze</t>
  </si>
  <si>
    <t>Hodnocení výsledků výzkumných organizací v roce 2015: Výsledky výzkumných organizací po jednotlivých organizačních jednotkách</t>
  </si>
  <si>
    <t>Výzkumná organizace / součást</t>
  </si>
  <si>
    <t>(nerozlišená součást)</t>
  </si>
  <si>
    <t>Hudební fakulta</t>
  </si>
  <si>
    <t>Divadelní fakulta</t>
  </si>
  <si>
    <t>Filmová a televizní fakulta</t>
  </si>
  <si>
    <t>Katedra cizích jazyků AMU</t>
  </si>
  <si>
    <t>Katedra tělesné výchovy AMU</t>
  </si>
  <si>
    <t>Knihovna AMU</t>
  </si>
  <si>
    <t>Počítačové centrum AMU</t>
  </si>
  <si>
    <t>Ediční centrum AMU</t>
  </si>
  <si>
    <t>Rektorát AMU - výkonný a správní útvar rektora a kvestora</t>
  </si>
  <si>
    <t>A0</t>
  </si>
  <si>
    <t>Celoškolské pracoviště</t>
  </si>
  <si>
    <t>Rektorát</t>
  </si>
  <si>
    <t>B0</t>
  </si>
  <si>
    <t>Provozně ekonomická fakulta</t>
  </si>
  <si>
    <t>Fakulta agrobiologie, potravinových a přírodních zdrojů</t>
  </si>
  <si>
    <t>Technická fakulta</t>
  </si>
  <si>
    <t>Fakulta lesnická a dřevařská</t>
  </si>
  <si>
    <t>Fakulta životního prostředí</t>
  </si>
  <si>
    <t>Fakulta tropického zemědělství</t>
  </si>
  <si>
    <t>Fakulta lesnická a environmentální</t>
  </si>
  <si>
    <t>Institut vzdělávání a poradenství</t>
  </si>
  <si>
    <t>Institut tropů a subtropů</t>
  </si>
  <si>
    <t>Katedra pedagogiky</t>
  </si>
  <si>
    <t>Katedra tělesné výchovy</t>
  </si>
  <si>
    <t>Studijní a informační centrum</t>
  </si>
  <si>
    <t>Centrum pro další vzdělávání a poradenství</t>
  </si>
  <si>
    <t>UNICO-AGRIC - zprostředkovatelská a inženýrská kancelář</t>
  </si>
  <si>
    <t>Ústav výpočetní techniky</t>
  </si>
  <si>
    <t>Školní zemědělský podnik se sídlem v Lánech</t>
  </si>
  <si>
    <t>Školní zemědělský podnik se sídlem v Kostelci nad Černými lesy</t>
  </si>
  <si>
    <t>C0</t>
  </si>
  <si>
    <t>Fakulta stavební</t>
  </si>
  <si>
    <t>Fakulta strojní</t>
  </si>
  <si>
    <t>Fakulta elektrotechnická</t>
  </si>
  <si>
    <t>Fakulta informačních technologií</t>
  </si>
  <si>
    <t>Fakulta dopravní</t>
  </si>
  <si>
    <t>Fakulta jaderná a fyzikálně inženýrská</t>
  </si>
  <si>
    <t>Fakulta architektury</t>
  </si>
  <si>
    <t>Fakulta biomedicínského inženýrství</t>
  </si>
  <si>
    <t>Kloknerův ústav</t>
  </si>
  <si>
    <t>Výpočetní a informační centrum</t>
  </si>
  <si>
    <t>Masarykův ústav vyšších studií</t>
  </si>
  <si>
    <t>Centrum biomedicínského inženýrství</t>
  </si>
  <si>
    <t>Technologické a inovační centrum</t>
  </si>
  <si>
    <t>Výzkumné centrum průmyslového dědictví</t>
  </si>
  <si>
    <t>Ústav technické a experimentální fyziky ČVUT</t>
  </si>
  <si>
    <t>Centrum pro radiochemii a radiační chemii</t>
  </si>
  <si>
    <t>Ústav tělesné výchovy a sportu</t>
  </si>
  <si>
    <t>Ústřední knihovna</t>
  </si>
  <si>
    <t>Inovacentrum</t>
  </si>
  <si>
    <t>Univerzitní centrum energeticky efektivních budov</t>
  </si>
  <si>
    <t>Český institut informatiky, robotiky a kybernetiky</t>
  </si>
  <si>
    <t>Rektorát ČVUT</t>
  </si>
  <si>
    <t>Vydavatelství ČVUT</t>
  </si>
  <si>
    <t>L03</t>
  </si>
  <si>
    <t>Fakultní dětská nemocnice J.G.Mendela Brno</t>
  </si>
  <si>
    <t>Informační centrum ASTORKA</t>
  </si>
  <si>
    <t>Divadlo na Orlí</t>
  </si>
  <si>
    <t>E0</t>
  </si>
  <si>
    <t>Zdravotně sociální fakulta</t>
  </si>
  <si>
    <t>Filozofická fakulta</t>
  </si>
  <si>
    <t>Zemědělská fakulta</t>
  </si>
  <si>
    <t>Teologická fakulta</t>
  </si>
  <si>
    <t>Přírodovědecká fakulta</t>
  </si>
  <si>
    <t>Pedagogická fakulta</t>
  </si>
  <si>
    <t>Ekonomická fakulta</t>
  </si>
  <si>
    <t>Fakulta rybářství a ochrany vod</t>
  </si>
  <si>
    <t>Výzkumný ústav rybářský a hydrobiologický</t>
  </si>
  <si>
    <t>Školský zemědělský podnik</t>
  </si>
  <si>
    <t>Ústav fyzikální chemie</t>
  </si>
  <si>
    <t>Ústav fyzikální biologie</t>
  </si>
  <si>
    <t>Historický ústav</t>
  </si>
  <si>
    <t>Jazykové centrum</t>
  </si>
  <si>
    <t>Centrum informačních technologií</t>
  </si>
  <si>
    <t>Evropské informační centrum</t>
  </si>
  <si>
    <t>Institut pro etiku hospodářství a regionální rozvoj</t>
  </si>
  <si>
    <t>Britské centrum</t>
  </si>
  <si>
    <t>Goethe-Zentrum</t>
  </si>
  <si>
    <t>F0</t>
  </si>
  <si>
    <t>F2</t>
  </si>
  <si>
    <t>FAKULTA MANAGEMENTU JU</t>
  </si>
  <si>
    <t>Lékařská fakulta</t>
  </si>
  <si>
    <t>Právnická fakulta</t>
  </si>
  <si>
    <t>Fakulta sociálních studií</t>
  </si>
  <si>
    <t>Fakulta informatiky</t>
  </si>
  <si>
    <t>Fakulta sportovních studií</t>
  </si>
  <si>
    <t>Ekonomicko-správní fakulta</t>
  </si>
  <si>
    <t>Centrum zahraničních studií</t>
  </si>
  <si>
    <t>Ústav strategických studií</t>
  </si>
  <si>
    <t>Mezinárodní politologický ústav</t>
  </si>
  <si>
    <t>Centrum jazykového vzdělávání</t>
  </si>
  <si>
    <t>Centrum pro další vzdělávání</t>
  </si>
  <si>
    <t>Poradenské centrum pro studenty</t>
  </si>
  <si>
    <t>Mezinárodní letní škola muzeologie ISSOM</t>
  </si>
  <si>
    <t>Pracoviště UNESCO - UNESCO CHAIR</t>
  </si>
  <si>
    <t>Archiv</t>
  </si>
  <si>
    <t>Institut biostatistiky a analýz</t>
  </si>
  <si>
    <t>Centrum pro transfer technologií</t>
  </si>
  <si>
    <t>Centrum občanského vzdělávání</t>
  </si>
  <si>
    <t>Středoevropský technologický institut</t>
  </si>
  <si>
    <t>Středisko pro pomoc studentům se specifickými nároky</t>
  </si>
  <si>
    <t>Mendelovo muzeum</t>
  </si>
  <si>
    <t>Univerzitní centrum Telč</t>
  </si>
  <si>
    <t>Vydavatelství</t>
  </si>
  <si>
    <t>Správa univerzitního kampusu Bohunice</t>
  </si>
  <si>
    <t>G0</t>
  </si>
  <si>
    <t>Agronomická fakulta</t>
  </si>
  <si>
    <t>Fakulta regionálního rozvoje a mezinárodních studií</t>
  </si>
  <si>
    <t>Lesnická a dřevařská fakulta</t>
  </si>
  <si>
    <t>Zahradnická fakulta (Lednice)</t>
  </si>
  <si>
    <t>Ústav vědecko-pedagogických informací a služeb</t>
  </si>
  <si>
    <t>Botanická zahrada a arboretum</t>
  </si>
  <si>
    <t>Školský zemědělský podnik Lednice</t>
  </si>
  <si>
    <t>Školský zemědělský podnik Žabčice</t>
  </si>
  <si>
    <t>Školský zemědělský podnik Masarykův les Křtiny</t>
  </si>
  <si>
    <t>Institut celoživotního vzdělávání</t>
  </si>
  <si>
    <t>Centrum transferu technologií</t>
  </si>
  <si>
    <t>H0</t>
  </si>
  <si>
    <t>Univerzita obrany  (nerozlišená součást)</t>
  </si>
  <si>
    <t>G09</t>
  </si>
  <si>
    <t>Vojenský technický ústav ochrany Brno</t>
  </si>
  <si>
    <t>G10</t>
  </si>
  <si>
    <t>Agentura rozvoje informatiky Praha</t>
  </si>
  <si>
    <t>G14</t>
  </si>
  <si>
    <t>Vysoká vojenská škola pozemního vojska Vyškov</t>
  </si>
  <si>
    <t>G15</t>
  </si>
  <si>
    <t>Vojenská akademie v Brně</t>
  </si>
  <si>
    <t>G17</t>
  </si>
  <si>
    <t>Historický ústav Armády České republiky</t>
  </si>
  <si>
    <t>G18</t>
  </si>
  <si>
    <t>Institut civilní ochrany České republiky</t>
  </si>
  <si>
    <t>G19</t>
  </si>
  <si>
    <t>Oddělení výzkumu, Odbor personálního marketingu, Hlavní personální úřad M0, Praha</t>
  </si>
  <si>
    <t>G20</t>
  </si>
  <si>
    <t>Výzkumné a vývojové středisko Hostivice</t>
  </si>
  <si>
    <t>G32</t>
  </si>
  <si>
    <t>Vojenský veterinární ústav Hlučín</t>
  </si>
  <si>
    <t>G33</t>
  </si>
  <si>
    <t>Vojenský zdravotní ústav Praha</t>
  </si>
  <si>
    <t>G34</t>
  </si>
  <si>
    <t>Národní centrum simulačních a trenažérových technologií Brno</t>
  </si>
  <si>
    <t>G35</t>
  </si>
  <si>
    <t>Vojenský obor Univerzita Karlova Fakulta tělesné výchovy a sportu</t>
  </si>
  <si>
    <t>G38</t>
  </si>
  <si>
    <t>Univerzita obrany</t>
  </si>
  <si>
    <t>G42</t>
  </si>
  <si>
    <t>Univerzita obrany - Fakulta vojenského leadershipu</t>
  </si>
  <si>
    <t>G43</t>
  </si>
  <si>
    <t>Univerzita obrany - Fakulta vojenských technologií Brno</t>
  </si>
  <si>
    <t>G44</t>
  </si>
  <si>
    <t>Univerzita obrany - Fakulta vojenského zdravotnictví Hradec Králové</t>
  </si>
  <si>
    <t>G45</t>
  </si>
  <si>
    <t>Univerzita obrany - Ústav ochrany proti zbraním hromadného ničení</t>
  </si>
  <si>
    <t>G50</t>
  </si>
  <si>
    <t>Vojenský geografický a hydrometeorologický úřad</t>
  </si>
  <si>
    <t>G51</t>
  </si>
  <si>
    <t>34. základna KIS</t>
  </si>
  <si>
    <t>K01</t>
  </si>
  <si>
    <t>Policie ČR Kriminalistický ústav Praha</t>
  </si>
  <si>
    <t>K02</t>
  </si>
  <si>
    <t>Generální ředitelství HZS - Technický ústav požární ochrany</t>
  </si>
  <si>
    <t>K06</t>
  </si>
  <si>
    <t>Policie ČR - Útvar zvláštních činností SKPV</t>
  </si>
  <si>
    <t>K08</t>
  </si>
  <si>
    <t>Policie ČR - Pyrotechnické oddělení Ochranné služby</t>
  </si>
  <si>
    <t>K09</t>
  </si>
  <si>
    <t>Krajský úřad vyšetřování Středočeského kraje</t>
  </si>
  <si>
    <t>K10</t>
  </si>
  <si>
    <t>Ředitelství Hasičského záchranného sboru ČR</t>
  </si>
  <si>
    <t>K11</t>
  </si>
  <si>
    <t>Odbor archivní správy a spisové služby</t>
  </si>
  <si>
    <t>K12</t>
  </si>
  <si>
    <t>Policie ČR - Úřad služby kriminální policie a vyšetřování</t>
  </si>
  <si>
    <t>K13</t>
  </si>
  <si>
    <t>Generální ředitelství HZS - Institut ochrany obyvatelstva</t>
  </si>
  <si>
    <t>Fakulta umění</t>
  </si>
  <si>
    <t>Centrum excelence IT4Innovations, divize OU, Ústav pro výzkum a aplikace fuzzy modelování</t>
  </si>
  <si>
    <t>Ústav pro regionální studia</t>
  </si>
  <si>
    <t>Univerzitní knihovna</t>
  </si>
  <si>
    <t>Centrum informačních a poradenských služeb</t>
  </si>
  <si>
    <t>Institut pro umělecká studia</t>
  </si>
  <si>
    <t>Evropský výzkumný institut sociální práce</t>
  </si>
  <si>
    <t>I0</t>
  </si>
  <si>
    <t>Filozoficko-přírodovědecká fakulta</t>
  </si>
  <si>
    <t>Fakulta veřejných politik v Opavě</t>
  </si>
  <si>
    <t>Obchodně podnikatelská fakulta v Karviné</t>
  </si>
  <si>
    <t>Matematický ústav v Opavě</t>
  </si>
  <si>
    <t>Vzdělávací centrum v Krnově</t>
  </si>
  <si>
    <t>Rektorát - administrativní a právní útvar SU</t>
  </si>
  <si>
    <t>J0</t>
  </si>
  <si>
    <t>Fakulta mechatroniky, informatiky a mezioborových studií</t>
  </si>
  <si>
    <t>Fakulta textilní</t>
  </si>
  <si>
    <t>Fakulta přírodovědně-humanitní a pedagogická</t>
  </si>
  <si>
    <t>Fakulta umění a architektury</t>
  </si>
  <si>
    <t>Fakulta zdravotnických studií</t>
  </si>
  <si>
    <t>Ústav zdravotnických studií</t>
  </si>
  <si>
    <t>Ústav pro nanomateriály, pokročilé technologie a inovace</t>
  </si>
  <si>
    <t>Centrum dalšího vzdělávání</t>
  </si>
  <si>
    <t>Rektorát (univerzitní knihovna, koleje a menzy)</t>
  </si>
  <si>
    <t>K0</t>
  </si>
  <si>
    <t>Fakulta informatiky a managementu</t>
  </si>
  <si>
    <t>Ústav sociální práce</t>
  </si>
  <si>
    <t>U0</t>
  </si>
  <si>
    <t>Fakulta výrobních technologií a managementu</t>
  </si>
  <si>
    <t>Fakulta sociálně ekonomická</t>
  </si>
  <si>
    <t>Fakulta umění a designu</t>
  </si>
  <si>
    <t>Ústav techniky a řízení výroby</t>
  </si>
  <si>
    <t>Ústav slovansko-germánských studií</t>
  </si>
  <si>
    <t>Centrum informatiky</t>
  </si>
  <si>
    <t>Univerzitní poradenské centrum</t>
  </si>
  <si>
    <t>Ústav humanitních studií</t>
  </si>
  <si>
    <t>Ústav přírodních věd</t>
  </si>
  <si>
    <t>Vědecká knihovna</t>
  </si>
  <si>
    <t>Výzkumné centrum konkurenceschopného a udržitelného rozvoje regionu</t>
  </si>
  <si>
    <t>Knihkupectví UJEP</t>
  </si>
  <si>
    <t>L0</t>
  </si>
  <si>
    <t>1. lékařská fakulta</t>
  </si>
  <si>
    <t>3. lékařská fakulta</t>
  </si>
  <si>
    <t>2. lékařská fakulta</t>
  </si>
  <si>
    <t>Lékařská fakulta v Plzni</t>
  </si>
  <si>
    <t>Lékařská fakulta v Hradci Králové</t>
  </si>
  <si>
    <t>Farmaceutická fakulta v Hradci Králové</t>
  </si>
  <si>
    <t>Fakulta sociálních věd</t>
  </si>
  <si>
    <t>Fakulta humanitních studií</t>
  </si>
  <si>
    <t>Katolická teologická fakulta</t>
  </si>
  <si>
    <t>Evangelická teologická fakulta</t>
  </si>
  <si>
    <t>Husitská teologická fakulta</t>
  </si>
  <si>
    <t>Matematicko-fyzikální fakulta</t>
  </si>
  <si>
    <t>Fakulta tělesné výchovy a sportu</t>
  </si>
  <si>
    <t>Centrum pro přenos poznatků a technologií</t>
  </si>
  <si>
    <t>Ústav dějin Univerzity Karlovy a archiv Univerzity Karlovy</t>
  </si>
  <si>
    <t>Centrum pro teoretická studia</t>
  </si>
  <si>
    <t>Institut základů vzdělanosti</t>
  </si>
  <si>
    <t>Centrum pro ekonomický výzkum a doktorská studia</t>
  </si>
  <si>
    <t>Evropské informační středisko</t>
  </si>
  <si>
    <t>Ústav jazykové a odborné přípravy</t>
  </si>
  <si>
    <t>Centrum pro otázky životního prostředí</t>
  </si>
  <si>
    <t>Agentura Rady vysokých škol</t>
  </si>
  <si>
    <t>Koleje a menzy</t>
  </si>
  <si>
    <t>Arcibiskupský seminář</t>
  </si>
  <si>
    <t>Nakladatelství Karolinum</t>
  </si>
  <si>
    <t>Správa budov a zařízení</t>
  </si>
  <si>
    <t>Sportovní centrum</t>
  </si>
  <si>
    <t>Centrum Krystal</t>
  </si>
  <si>
    <t>Celoškolská pracoviště</t>
  </si>
  <si>
    <t>Fakulta zdravotnických věd</t>
  </si>
  <si>
    <t>Cyrilometodějská teologická fakulta</t>
  </si>
  <si>
    <t>Fakulta tělesné kultury</t>
  </si>
  <si>
    <t>Společná laboratoř optiky Univerzity Palackého a Fyzikálního ústavu AV ČR</t>
  </si>
  <si>
    <t>Informační centrum Univerzity Palackého</t>
  </si>
  <si>
    <t>Centrum celouniverzitních aktivit Univerzity Palackého</t>
  </si>
  <si>
    <t>Rektorát Univerzity Palackého</t>
  </si>
  <si>
    <t>N0</t>
  </si>
  <si>
    <t>Fakulta restaurování</t>
  </si>
  <si>
    <t>Fakulta filozofická</t>
  </si>
  <si>
    <t>Fakulta chemicko-technologická</t>
  </si>
  <si>
    <t>Fakulta ekonomicko-správní</t>
  </si>
  <si>
    <t>Dopravní fakulta Jana Pernera</t>
  </si>
  <si>
    <t>Fakulta elektrotechniky a informatiky</t>
  </si>
  <si>
    <t>Ústav jazyků a humanitních studií</t>
  </si>
  <si>
    <t>Centrum výzkumné a znalecké činnosti</t>
  </si>
  <si>
    <t>Univerzitní knihovna Univerzity Pardubice</t>
  </si>
  <si>
    <t>Informační centrum</t>
  </si>
  <si>
    <t>Katedra tělovýchovy a sportu Univerzity Pardubice</t>
  </si>
  <si>
    <t>Univerzitní ekologické centrum Univerzity Pardubice</t>
  </si>
  <si>
    <t>Společná laboratoř chemie pevných látek Akademie věd České republiky a Univerzity Pardubice</t>
  </si>
  <si>
    <t>Společná laboratoř NMR spektroskopie Výzkumného ústavu organických syntéz a.s., Pardubice-Rybitví a Univerzity Pardubice</t>
  </si>
  <si>
    <t>Společná laboratoř analýzy a hodnocení polymerů SYNPO a.s, Pardubice-Rybitví a Fakulty chemicko-technologické Univerzity Pardubice</t>
  </si>
  <si>
    <t>Společné pracoviště aplikované medicíny Nemocnice Pardubice a Fakulty chemicko-technologické Univerzity Pardubice</t>
  </si>
  <si>
    <t>Přepravní laboratoř, společné pracoviště NH-TRANS Ostrava a Dopravní fakulty Jana Pernera Univerzity Pardubice</t>
  </si>
  <si>
    <t>Ústav elektrotechniky a informatiky</t>
  </si>
  <si>
    <t>Centrum materiálového výzkumu</t>
  </si>
  <si>
    <t>Tiskařské středisko UP</t>
  </si>
  <si>
    <t>Odbor výstavby a údržby Univerzity Pardubice</t>
  </si>
  <si>
    <t>Středisko dopravy Univerzity Pardubice</t>
  </si>
  <si>
    <t>P0</t>
  </si>
  <si>
    <t>Fakulta technologická</t>
  </si>
  <si>
    <t>Fakulta managementu a ekonomiky</t>
  </si>
  <si>
    <t>Fakulta multimediálních komunikací</t>
  </si>
  <si>
    <t>Fakulta aplikované informatiky</t>
  </si>
  <si>
    <t>Fakulta logistiky a krizového řízení</t>
  </si>
  <si>
    <t>Univerzitní institut</t>
  </si>
  <si>
    <t>Knihovna UTB</t>
  </si>
  <si>
    <t>Fakulta veterinárního lékařství</t>
  </si>
  <si>
    <t>Fakulta veterinární hygieny a ekologie</t>
  </si>
  <si>
    <t>Farmaceutická fakulta</t>
  </si>
  <si>
    <t>Školský zemědělský podnik Nový Jičín</t>
  </si>
  <si>
    <t>L39</t>
  </si>
  <si>
    <t>Výzkumný ústav stomatologický Praha 2 - Vinohrady</t>
  </si>
  <si>
    <t>Fakulta bezpečnostního inženýrství</t>
  </si>
  <si>
    <t>Hornicko-geologická fakulta</t>
  </si>
  <si>
    <t>Fakulta metalurgie a materiálového inženýrství</t>
  </si>
  <si>
    <t>Katedra matematiky a deskriptivní geometrie</t>
  </si>
  <si>
    <t>Katedra jazyků</t>
  </si>
  <si>
    <t>Katedra společenských věd</t>
  </si>
  <si>
    <t>Katedra tělesné výchovy a sportu</t>
  </si>
  <si>
    <t>Centrum nanotechnologií</t>
  </si>
  <si>
    <t>Výzkumné energetické centrum</t>
  </si>
  <si>
    <t>Archiv VŠB-TUO</t>
  </si>
  <si>
    <t>Centrum pokročilých inovačních technologií</t>
  </si>
  <si>
    <t>Středisko vzdělávání</t>
  </si>
  <si>
    <t>Institut environmentálních technologií</t>
  </si>
  <si>
    <t>Katedra učitelství odborných předmětů</t>
  </si>
  <si>
    <t>Centrum energetického využití netradičních zdrojů energie</t>
  </si>
  <si>
    <t>IT4Innovations</t>
  </si>
  <si>
    <t>Centrum podpory inovací</t>
  </si>
  <si>
    <t>katedra fyziky</t>
  </si>
  <si>
    <t>Ediční středisko</t>
  </si>
  <si>
    <t>R0</t>
  </si>
  <si>
    <t>Fakulta financí a účetnictví</t>
  </si>
  <si>
    <t>Fakulta mezinárodních vztahů</t>
  </si>
  <si>
    <t>Fakulta podnikohospodářská</t>
  </si>
  <si>
    <t>Fakulta informatiky a statistiky</t>
  </si>
  <si>
    <t>Fakulta národohospodářská</t>
  </si>
  <si>
    <t>Fakulta managementu v Jindřichově Hradci</t>
  </si>
  <si>
    <t>S0</t>
  </si>
  <si>
    <t>Fakulta chemické technologie</t>
  </si>
  <si>
    <t>Fakulta technologie ochrany prostředí</t>
  </si>
  <si>
    <t>Fakulta potravinářské a biochemické technologie</t>
  </si>
  <si>
    <t>Fakulta chemicko-inženýrská</t>
  </si>
  <si>
    <t>Centrální laboratoře</t>
  </si>
  <si>
    <t>Výpočetní centrum</t>
  </si>
  <si>
    <t>T0</t>
  </si>
  <si>
    <t>Rektorát (Školní knihovna)</t>
  </si>
  <si>
    <t>V0</t>
  </si>
  <si>
    <t>Fakulta strojního inženýrství</t>
  </si>
  <si>
    <t>Fakulta elektrotechniky a komunikačních technologií</t>
  </si>
  <si>
    <t>Fakulta chemická</t>
  </si>
  <si>
    <t>Fakulta výtvarných umění</t>
  </si>
  <si>
    <t>Fakulta podnikatelská</t>
  </si>
  <si>
    <t>Fakulta technologická ve Zlíně</t>
  </si>
  <si>
    <t>Fakulta managementu a ekonomiky ve Zlíně</t>
  </si>
  <si>
    <t>Ústav soudního inženýrství</t>
  </si>
  <si>
    <t>Centrum sportovních aktivit</t>
  </si>
  <si>
    <t>Centrum výpočetních a informačních služeb</t>
  </si>
  <si>
    <t>Rektorát včetně hospodářské a vnitřní správy</t>
  </si>
  <si>
    <t>W0</t>
  </si>
  <si>
    <t>Fakulta právnická</t>
  </si>
  <si>
    <t>Fakulta designu a umění Ladislava Sutnara</t>
  </si>
  <si>
    <t>Fakulta pedagogická</t>
  </si>
  <si>
    <t>Fakulta ekonomická</t>
  </si>
  <si>
    <t>Fakulta aplikovaných věd</t>
  </si>
  <si>
    <t>Centrum informatizace a výpočetní techniky</t>
  </si>
  <si>
    <t>Ústav celoživotního vzdělávání</t>
  </si>
  <si>
    <t>Nové technologie - výzkumné centrum</t>
  </si>
  <si>
    <t>Ústav umění a designu</t>
  </si>
  <si>
    <t>Regionální inovační centrum elektrotechniky</t>
  </si>
  <si>
    <t>Ústav jazykové přípravy</t>
  </si>
  <si>
    <t>Projektové centrum</t>
  </si>
  <si>
    <t>Zahraniční vztahy</t>
  </si>
  <si>
    <t>Rektorát ZČU</t>
  </si>
  <si>
    <t>X0</t>
  </si>
  <si>
    <t>04274644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</si>
</sst>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</cellXfs>
  <cellStyles count="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3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ColWidth="8.85546875" defaultRowHeight="15" x14ac:dyDescent="0.25"/>
  <cols>
    <col min="1" max="1" width="17.7109375" customWidth="1"/>
    <col min="2" max="2" width="64.42578125" customWidth="1"/>
    <col min="3" max="3" width="11" customWidth="1"/>
    <col min="4" max="4" width="43" customWidth="1"/>
    <col min="5" max="5" width="12.85546875" customWidth="1"/>
    <col min="7" max="7" width="9.7109375" customWidth="1"/>
    <col min="8" max="8" width="10" customWidth="1"/>
    <col min="9" max="9" width="13.140625" customWidth="1"/>
    <col min="10" max="10" width="11.140625" customWidth="1"/>
    <col min="12" max="12" width="10.28515625" customWidth="1"/>
    <col min="13" max="13" width="11.85546875" customWidth="1"/>
    <col min="14" max="14" width="11.42578125" customWidth="1"/>
    <col min="15" max="15" width="10.28515625" customWidth="1"/>
    <col min="16" max="16" width="10.7109375" customWidth="1"/>
    <col min="17" max="19" width="19" customWidth="1"/>
  </cols>
  <sheetData>
    <row r="1" spans="1:44" ht="18.75" x14ac:dyDescent="0.3">
      <c r="A1" s="1" t="s">
        <v>244</v>
      </c>
    </row>
    <row r="2" spans="1:44" ht="15.75" x14ac:dyDescent="0.25">
      <c r="A2" s="2" t="s">
        <v>0</v>
      </c>
    </row>
    <row r="3" spans="1:44" ht="60" x14ac:dyDescent="0.25">
      <c r="A3" s="10" t="s">
        <v>245</v>
      </c>
      <c r="B3" s="11"/>
      <c r="C3" s="11"/>
      <c r="D3" s="11"/>
      <c r="E3" s="10" t="s">
        <v>1</v>
      </c>
      <c r="F3" s="11"/>
      <c r="G3" s="11"/>
      <c r="H3" s="10" t="s">
        <v>2</v>
      </c>
      <c r="I3" s="11"/>
      <c r="J3" s="11"/>
      <c r="K3" s="10" t="s">
        <v>3</v>
      </c>
      <c r="L3" s="11"/>
      <c r="M3" s="11"/>
      <c r="N3" s="11"/>
      <c r="O3" s="10" t="s">
        <v>4</v>
      </c>
      <c r="P3" s="11"/>
      <c r="Q3" s="11"/>
      <c r="R3" s="11"/>
      <c r="S3" s="5" t="s">
        <v>5</v>
      </c>
      <c r="T3" s="6"/>
    </row>
    <row r="4" spans="1:44" ht="120" customHeight="1" x14ac:dyDescent="0.25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8" t="s">
        <v>6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6" t="str">
        <f>"28614950"</f>
        <v>28614950</v>
      </c>
      <c r="B5" s="6" t="s">
        <v>26</v>
      </c>
      <c r="C5" s="6"/>
      <c r="D5" s="6"/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27.2406909141</v>
      </c>
      <c r="R5" s="6">
        <v>27.2406909141</v>
      </c>
      <c r="S5" s="6">
        <v>0</v>
      </c>
      <c r="T5" s="9">
        <f t="shared" ref="T5:T68" si="0">G5+J5+N5+R5+S5</f>
        <v>27.2406909141</v>
      </c>
    </row>
    <row r="6" spans="1:44" x14ac:dyDescent="0.25">
      <c r="A6" s="6" t="str">
        <f>"26784246"</f>
        <v>26784246</v>
      </c>
      <c r="B6" s="6" t="s">
        <v>27</v>
      </c>
      <c r="C6" s="6"/>
      <c r="D6" s="6"/>
      <c r="E6" s="6">
        <v>67</v>
      </c>
      <c r="F6" s="6">
        <v>692.13994236833003</v>
      </c>
      <c r="G6" s="6">
        <v>748.25202455220995</v>
      </c>
      <c r="H6" s="6">
        <v>0</v>
      </c>
      <c r="I6" s="6">
        <v>0</v>
      </c>
      <c r="J6" s="6">
        <v>0</v>
      </c>
      <c r="K6" s="6">
        <v>1</v>
      </c>
      <c r="L6" s="6">
        <v>1</v>
      </c>
      <c r="M6" s="6">
        <v>215.833</v>
      </c>
      <c r="N6" s="6">
        <v>322.83199999999999</v>
      </c>
      <c r="O6" s="6">
        <v>25</v>
      </c>
      <c r="P6" s="6">
        <v>25</v>
      </c>
      <c r="Q6" s="6">
        <v>83.337699305499996</v>
      </c>
      <c r="R6" s="6">
        <v>108.3376993055</v>
      </c>
      <c r="S6" s="6">
        <v>787.60500000000002</v>
      </c>
      <c r="T6" s="9">
        <f t="shared" si="0"/>
        <v>1967.0267238577098</v>
      </c>
    </row>
    <row r="7" spans="1:44" x14ac:dyDescent="0.25">
      <c r="A7" s="6" t="str">
        <f>"25328859"</f>
        <v>25328859</v>
      </c>
      <c r="B7" s="6" t="s">
        <v>28</v>
      </c>
      <c r="C7" s="6"/>
      <c r="D7" s="6"/>
      <c r="E7" s="6">
        <v>160</v>
      </c>
      <c r="F7" s="6">
        <v>1675.9520875999999</v>
      </c>
      <c r="G7" s="6">
        <v>1741.1553926189999</v>
      </c>
      <c r="H7" s="6">
        <v>0</v>
      </c>
      <c r="I7" s="6">
        <v>0</v>
      </c>
      <c r="J7" s="6">
        <v>0</v>
      </c>
      <c r="K7" s="6">
        <v>1.95</v>
      </c>
      <c r="L7" s="6">
        <v>0</v>
      </c>
      <c r="M7" s="6">
        <v>371.45400000000001</v>
      </c>
      <c r="N7" s="6">
        <v>334.30900000000003</v>
      </c>
      <c r="O7" s="6">
        <v>25</v>
      </c>
      <c r="P7" s="6">
        <v>25</v>
      </c>
      <c r="Q7" s="6">
        <v>229.33716810109999</v>
      </c>
      <c r="R7" s="6">
        <v>254.33716810109999</v>
      </c>
      <c r="S7" s="6">
        <v>1156.55</v>
      </c>
      <c r="T7" s="9">
        <f t="shared" si="0"/>
        <v>3486.3515607200998</v>
      </c>
    </row>
    <row r="8" spans="1:44" x14ac:dyDescent="0.25">
      <c r="A8" s="6" t="str">
        <f>"26788462"</f>
        <v>26788462</v>
      </c>
      <c r="B8" s="6" t="s">
        <v>29</v>
      </c>
      <c r="C8" s="6"/>
      <c r="D8" s="6"/>
      <c r="E8" s="6">
        <v>136</v>
      </c>
      <c r="F8" s="6">
        <v>711.78956522579995</v>
      </c>
      <c r="G8" s="6">
        <v>780.43554670885999</v>
      </c>
      <c r="H8" s="6">
        <v>0</v>
      </c>
      <c r="I8" s="6">
        <v>0</v>
      </c>
      <c r="J8" s="6">
        <v>0</v>
      </c>
      <c r="K8" s="6">
        <v>0.6</v>
      </c>
      <c r="L8" s="6">
        <v>0</v>
      </c>
      <c r="M8" s="6">
        <v>242.82900000000001</v>
      </c>
      <c r="N8" s="6">
        <v>218.54599999999999</v>
      </c>
      <c r="O8" s="6">
        <v>0</v>
      </c>
      <c r="P8" s="6">
        <v>0</v>
      </c>
      <c r="Q8" s="6">
        <v>72.294175961999997</v>
      </c>
      <c r="R8" s="6">
        <v>72.294175961999997</v>
      </c>
      <c r="S8" s="6">
        <v>904.56100000000004</v>
      </c>
      <c r="T8" s="9">
        <f t="shared" si="0"/>
        <v>1975.8367226708601</v>
      </c>
    </row>
    <row r="9" spans="1:44" x14ac:dyDescent="0.25">
      <c r="A9" s="6" t="str">
        <f t="shared" ref="A9:A20" si="1">"61384984"</f>
        <v>61384984</v>
      </c>
      <c r="B9" s="6" t="s">
        <v>30</v>
      </c>
      <c r="C9" s="6"/>
      <c r="D9" s="6" t="s">
        <v>246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/>
      <c r="Q9" s="6">
        <v>0</v>
      </c>
      <c r="R9" s="6">
        <v>0</v>
      </c>
      <c r="S9" s="6">
        <v>0</v>
      </c>
      <c r="T9" s="9">
        <f t="shared" si="0"/>
        <v>0</v>
      </c>
    </row>
    <row r="10" spans="1:44" x14ac:dyDescent="0.25">
      <c r="A10" s="6" t="str">
        <f t="shared" si="1"/>
        <v>61384984</v>
      </c>
      <c r="B10" s="6" t="s">
        <v>30</v>
      </c>
      <c r="C10" s="6"/>
      <c r="D10" s="6"/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2</v>
      </c>
      <c r="L10" s="6">
        <v>0</v>
      </c>
      <c r="M10" s="6">
        <v>4.4320000000000004</v>
      </c>
      <c r="N10" s="6">
        <v>3.9887999999999999</v>
      </c>
      <c r="O10" s="6">
        <v>0</v>
      </c>
      <c r="P10" s="6"/>
      <c r="Q10" s="6">
        <v>0</v>
      </c>
      <c r="R10" s="6">
        <v>0</v>
      </c>
      <c r="S10" s="6">
        <v>0</v>
      </c>
      <c r="T10" s="9">
        <f t="shared" si="0"/>
        <v>3.9887999999999999</v>
      </c>
    </row>
    <row r="11" spans="1:44" x14ac:dyDescent="0.25">
      <c r="A11" s="6" t="str">
        <f t="shared" si="1"/>
        <v>61384984</v>
      </c>
      <c r="B11" s="6" t="s">
        <v>30</v>
      </c>
      <c r="C11" s="6">
        <v>51110</v>
      </c>
      <c r="D11" s="6" t="s">
        <v>247</v>
      </c>
      <c r="E11" s="6">
        <v>56</v>
      </c>
      <c r="F11" s="6">
        <v>732.45050334397001</v>
      </c>
      <c r="G11" s="6">
        <v>755.91794208144995</v>
      </c>
      <c r="H11" s="6">
        <v>0</v>
      </c>
      <c r="I11" s="6">
        <v>0</v>
      </c>
      <c r="J11" s="6">
        <v>0</v>
      </c>
      <c r="K11" s="6">
        <v>2</v>
      </c>
      <c r="L11" s="6">
        <v>0</v>
      </c>
      <c r="M11" s="6">
        <v>231.083</v>
      </c>
      <c r="N11" s="6">
        <v>207.97499999999999</v>
      </c>
      <c r="O11" s="6">
        <v>10</v>
      </c>
      <c r="P11" s="6">
        <v>10</v>
      </c>
      <c r="Q11" s="6">
        <v>83.276346398100003</v>
      </c>
      <c r="R11" s="6">
        <v>93.276346398100003</v>
      </c>
      <c r="S11" s="6">
        <v>506.45499999999998</v>
      </c>
      <c r="T11" s="9">
        <f t="shared" si="0"/>
        <v>1563.6242884795499</v>
      </c>
    </row>
    <row r="12" spans="1:44" x14ac:dyDescent="0.25">
      <c r="A12" s="6" t="str">
        <f t="shared" si="1"/>
        <v>61384984</v>
      </c>
      <c r="B12" s="6" t="s">
        <v>30</v>
      </c>
      <c r="C12" s="6">
        <v>51210</v>
      </c>
      <c r="D12" s="6" t="s">
        <v>248</v>
      </c>
      <c r="E12" s="6">
        <v>241</v>
      </c>
      <c r="F12" s="6">
        <v>3481.6300338462001</v>
      </c>
      <c r="G12" s="6">
        <v>3142.3062973042001</v>
      </c>
      <c r="H12" s="6">
        <v>0</v>
      </c>
      <c r="I12" s="6">
        <v>0</v>
      </c>
      <c r="J12" s="6">
        <v>0</v>
      </c>
      <c r="K12" s="6">
        <v>2</v>
      </c>
      <c r="L12" s="6">
        <v>0</v>
      </c>
      <c r="M12" s="6">
        <v>277.29199999999997</v>
      </c>
      <c r="N12" s="6">
        <v>249.56299999999999</v>
      </c>
      <c r="O12" s="6">
        <v>0</v>
      </c>
      <c r="P12" s="6"/>
      <c r="Q12" s="6">
        <v>0</v>
      </c>
      <c r="R12" s="6">
        <v>0</v>
      </c>
      <c r="S12" s="6">
        <v>0</v>
      </c>
      <c r="T12" s="9">
        <f t="shared" si="0"/>
        <v>3391.8692973042002</v>
      </c>
    </row>
    <row r="13" spans="1:44" x14ac:dyDescent="0.25">
      <c r="A13" s="6" t="str">
        <f t="shared" si="1"/>
        <v>61384984</v>
      </c>
      <c r="B13" s="6" t="s">
        <v>30</v>
      </c>
      <c r="C13" s="6">
        <v>51310</v>
      </c>
      <c r="D13" s="6" t="s">
        <v>249</v>
      </c>
      <c r="E13" s="6">
        <v>23</v>
      </c>
      <c r="F13" s="6">
        <v>479.4832836105</v>
      </c>
      <c r="G13" s="6">
        <v>410.99088648998998</v>
      </c>
      <c r="H13" s="6">
        <v>0</v>
      </c>
      <c r="I13" s="6">
        <v>0</v>
      </c>
      <c r="J13" s="6">
        <v>0</v>
      </c>
      <c r="K13" s="6">
        <v>2</v>
      </c>
      <c r="L13" s="6">
        <v>0</v>
      </c>
      <c r="M13" s="6">
        <v>39.713999999999999</v>
      </c>
      <c r="N13" s="6">
        <v>35.742600000000003</v>
      </c>
      <c r="O13" s="6">
        <v>0</v>
      </c>
      <c r="P13" s="6">
        <v>0</v>
      </c>
      <c r="Q13" s="6">
        <v>275.55635839080003</v>
      </c>
      <c r="R13" s="6">
        <v>275.55635839080003</v>
      </c>
      <c r="S13" s="6">
        <v>210.58699999999999</v>
      </c>
      <c r="T13" s="9">
        <f t="shared" si="0"/>
        <v>932.87684488079003</v>
      </c>
    </row>
    <row r="14" spans="1:44" x14ac:dyDescent="0.25">
      <c r="A14" s="6" t="str">
        <f t="shared" si="1"/>
        <v>61384984</v>
      </c>
      <c r="B14" s="6" t="s">
        <v>30</v>
      </c>
      <c r="C14" s="6">
        <v>51610</v>
      </c>
      <c r="D14" s="6" t="s">
        <v>250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/>
      <c r="Q14" s="6">
        <v>0</v>
      </c>
      <c r="R14" s="6">
        <v>0</v>
      </c>
      <c r="S14" s="6">
        <v>0</v>
      </c>
      <c r="T14" s="9">
        <f t="shared" si="0"/>
        <v>0</v>
      </c>
    </row>
    <row r="15" spans="1:44" x14ac:dyDescent="0.25">
      <c r="A15" s="6" t="str">
        <f t="shared" si="1"/>
        <v>61384984</v>
      </c>
      <c r="B15" s="6" t="s">
        <v>30</v>
      </c>
      <c r="C15" s="6">
        <v>51620</v>
      </c>
      <c r="D15" s="6" t="s">
        <v>251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/>
      <c r="Q15" s="6">
        <v>0</v>
      </c>
      <c r="R15" s="6">
        <v>0</v>
      </c>
      <c r="S15" s="6">
        <v>0</v>
      </c>
      <c r="T15" s="9">
        <f t="shared" si="0"/>
        <v>0</v>
      </c>
    </row>
    <row r="16" spans="1:44" x14ac:dyDescent="0.25">
      <c r="A16" s="6" t="str">
        <f t="shared" si="1"/>
        <v>61384984</v>
      </c>
      <c r="B16" s="6" t="s">
        <v>30</v>
      </c>
      <c r="C16" s="6">
        <v>51630</v>
      </c>
      <c r="D16" s="6" t="s">
        <v>252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/>
      <c r="Q16" s="6">
        <v>0</v>
      </c>
      <c r="R16" s="6">
        <v>0</v>
      </c>
      <c r="S16" s="6">
        <v>0</v>
      </c>
      <c r="T16" s="9">
        <f t="shared" si="0"/>
        <v>0</v>
      </c>
    </row>
    <row r="17" spans="1:20" x14ac:dyDescent="0.25">
      <c r="A17" s="6" t="str">
        <f t="shared" si="1"/>
        <v>61384984</v>
      </c>
      <c r="B17" s="6" t="s">
        <v>30</v>
      </c>
      <c r="C17" s="6">
        <v>51640</v>
      </c>
      <c r="D17" s="6" t="s">
        <v>253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/>
      <c r="Q17" s="6">
        <v>0</v>
      </c>
      <c r="R17" s="6">
        <v>0</v>
      </c>
      <c r="S17" s="6">
        <v>0</v>
      </c>
      <c r="T17" s="9">
        <f t="shared" si="0"/>
        <v>0</v>
      </c>
    </row>
    <row r="18" spans="1:20" x14ac:dyDescent="0.25">
      <c r="A18" s="6" t="str">
        <f t="shared" si="1"/>
        <v>61384984</v>
      </c>
      <c r="B18" s="6" t="s">
        <v>30</v>
      </c>
      <c r="C18" s="6">
        <v>51650</v>
      </c>
      <c r="D18" s="6" t="s">
        <v>254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/>
      <c r="Q18" s="6">
        <v>0</v>
      </c>
      <c r="R18" s="6">
        <v>0</v>
      </c>
      <c r="S18" s="6">
        <v>0</v>
      </c>
      <c r="T18" s="9">
        <f t="shared" si="0"/>
        <v>0</v>
      </c>
    </row>
    <row r="19" spans="1:20" x14ac:dyDescent="0.25">
      <c r="A19" s="6" t="str">
        <f t="shared" si="1"/>
        <v>61384984</v>
      </c>
      <c r="B19" s="6" t="s">
        <v>30</v>
      </c>
      <c r="C19" s="6">
        <v>51810</v>
      </c>
      <c r="D19" s="6" t="s">
        <v>255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/>
      <c r="Q19" s="6">
        <v>0</v>
      </c>
      <c r="R19" s="6">
        <v>0</v>
      </c>
      <c r="S19" s="6">
        <v>0</v>
      </c>
      <c r="T19" s="9">
        <f t="shared" si="0"/>
        <v>0</v>
      </c>
    </row>
    <row r="20" spans="1:20" x14ac:dyDescent="0.25">
      <c r="A20" s="6" t="str">
        <f t="shared" si="1"/>
        <v>61384984</v>
      </c>
      <c r="B20" s="6" t="s">
        <v>30</v>
      </c>
      <c r="C20" s="6" t="s">
        <v>256</v>
      </c>
      <c r="D20" s="6" t="s">
        <v>257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/>
      <c r="Q20" s="6">
        <v>0</v>
      </c>
      <c r="R20" s="6">
        <v>0</v>
      </c>
      <c r="S20" s="6">
        <v>0</v>
      </c>
      <c r="T20" s="9">
        <f t="shared" si="0"/>
        <v>0</v>
      </c>
    </row>
    <row r="21" spans="1:20" x14ac:dyDescent="0.25">
      <c r="A21" s="6" t="str">
        <f>"60461446"</f>
        <v>60461446</v>
      </c>
      <c r="B21" s="6" t="s">
        <v>31</v>
      </c>
      <c r="C21" s="6"/>
      <c r="D21" s="6" t="s">
        <v>246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</v>
      </c>
      <c r="L21" s="6">
        <v>0</v>
      </c>
      <c r="M21" s="6">
        <v>6.2619999999999996</v>
      </c>
      <c r="N21" s="6">
        <v>5.6357999999999997</v>
      </c>
      <c r="O21" s="6">
        <v>0</v>
      </c>
      <c r="P21" s="6">
        <v>0</v>
      </c>
      <c r="Q21" s="6">
        <v>67.488198210600004</v>
      </c>
      <c r="R21" s="6">
        <v>67.488198210600004</v>
      </c>
      <c r="S21" s="6">
        <v>109.47</v>
      </c>
      <c r="T21" s="9">
        <f t="shared" si="0"/>
        <v>182.59399821060001</v>
      </c>
    </row>
    <row r="22" spans="1:20" x14ac:dyDescent="0.25">
      <c r="A22" s="6" t="str">
        <f>"60461446"</f>
        <v>60461446</v>
      </c>
      <c r="B22" s="6" t="s">
        <v>31</v>
      </c>
      <c r="C22" s="6">
        <v>52810</v>
      </c>
      <c r="D22" s="6" t="s">
        <v>258</v>
      </c>
      <c r="E22" s="6">
        <v>90</v>
      </c>
      <c r="F22" s="6">
        <v>1286.1005580834001</v>
      </c>
      <c r="G22" s="6">
        <v>1121.1828167419999</v>
      </c>
      <c r="H22" s="6">
        <v>0</v>
      </c>
      <c r="I22" s="6">
        <v>0</v>
      </c>
      <c r="J22" s="6">
        <v>0</v>
      </c>
      <c r="K22" s="6">
        <v>1</v>
      </c>
      <c r="L22" s="6">
        <v>0</v>
      </c>
      <c r="M22" s="6">
        <v>86.45</v>
      </c>
      <c r="N22" s="6">
        <v>77.805000000000007</v>
      </c>
      <c r="O22" s="6">
        <v>0</v>
      </c>
      <c r="P22" s="6">
        <v>0</v>
      </c>
      <c r="Q22" s="6">
        <v>48.468796896699999</v>
      </c>
      <c r="R22" s="6">
        <v>48.468796896699999</v>
      </c>
      <c r="S22" s="6">
        <v>42.926000000000002</v>
      </c>
      <c r="T22" s="9">
        <f t="shared" si="0"/>
        <v>1290.3826136386999</v>
      </c>
    </row>
    <row r="23" spans="1:20" x14ac:dyDescent="0.25">
      <c r="A23" s="6" t="str">
        <f>"60461446"</f>
        <v>60461446</v>
      </c>
      <c r="B23" s="6" t="s">
        <v>31</v>
      </c>
      <c r="C23" s="6" t="s">
        <v>259</v>
      </c>
      <c r="D23" s="6" t="s">
        <v>257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/>
      <c r="Q23" s="6">
        <v>0</v>
      </c>
      <c r="R23" s="6">
        <v>0</v>
      </c>
      <c r="S23" s="6">
        <v>0</v>
      </c>
      <c r="T23" s="9">
        <f t="shared" si="0"/>
        <v>0</v>
      </c>
    </row>
    <row r="24" spans="1:20" x14ac:dyDescent="0.25">
      <c r="A24" s="6" t="str">
        <f>"63493713"</f>
        <v>63493713</v>
      </c>
      <c r="B24" s="6" t="s">
        <v>32</v>
      </c>
      <c r="C24" s="6"/>
      <c r="D24" s="6"/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50.063972490799998</v>
      </c>
      <c r="R24" s="6">
        <v>50.063972490799998</v>
      </c>
      <c r="S24" s="6">
        <v>44.232999999999997</v>
      </c>
      <c r="T24" s="9">
        <f t="shared" si="0"/>
        <v>94.296972490799988</v>
      </c>
    </row>
    <row r="25" spans="1:20" x14ac:dyDescent="0.25">
      <c r="A25" s="6" t="str">
        <f>"28064933"</f>
        <v>28064933</v>
      </c>
      <c r="B25" s="6" t="s">
        <v>33</v>
      </c>
      <c r="C25" s="6"/>
      <c r="D25" s="6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13.0068163824</v>
      </c>
      <c r="R25" s="6">
        <v>13.0068163824</v>
      </c>
      <c r="S25" s="6">
        <v>0</v>
      </c>
      <c r="T25" s="9">
        <f t="shared" si="0"/>
        <v>13.0068163824</v>
      </c>
    </row>
    <row r="26" spans="1:20" x14ac:dyDescent="0.25">
      <c r="A26" s="6" t="str">
        <f>"29278872"</f>
        <v>29278872</v>
      </c>
      <c r="B26" s="6" t="s">
        <v>34</v>
      </c>
      <c r="C26" s="6"/>
      <c r="D26" s="6"/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/>
      <c r="Q26" s="6">
        <v>0</v>
      </c>
      <c r="R26" s="6">
        <v>0</v>
      </c>
      <c r="S26" s="6">
        <v>0</v>
      </c>
      <c r="T26" s="9">
        <f t="shared" si="0"/>
        <v>0</v>
      </c>
    </row>
    <row r="27" spans="1:20" x14ac:dyDescent="0.25">
      <c r="A27" s="6" t="str">
        <f>"26268469"</f>
        <v>26268469</v>
      </c>
      <c r="B27" s="6" t="s">
        <v>35</v>
      </c>
      <c r="C27" s="6"/>
      <c r="D27" s="6"/>
      <c r="E27" s="6">
        <v>69</v>
      </c>
      <c r="F27" s="6">
        <v>433.10238189961001</v>
      </c>
      <c r="G27" s="6">
        <v>346.10316365667001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21.412164704999999</v>
      </c>
      <c r="R27" s="6">
        <v>21.412164704999999</v>
      </c>
      <c r="S27" s="6">
        <v>20.324000000000002</v>
      </c>
      <c r="T27" s="9">
        <f t="shared" si="0"/>
        <v>387.83932836167003</v>
      </c>
    </row>
    <row r="28" spans="1:20" x14ac:dyDescent="0.25">
      <c r="A28" s="6" t="str">
        <f>"75008271"</f>
        <v>75008271</v>
      </c>
      <c r="B28" s="6" t="s">
        <v>36</v>
      </c>
      <c r="C28" s="6"/>
      <c r="D28" s="6"/>
      <c r="E28" s="6">
        <v>1</v>
      </c>
      <c r="F28" s="6">
        <v>1.2749999761580999</v>
      </c>
      <c r="G28" s="6">
        <v>0.95999997854232999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7.8736231245999999</v>
      </c>
      <c r="R28" s="6">
        <v>7.8736231245999999</v>
      </c>
      <c r="S28" s="6">
        <v>18.751999999999999</v>
      </c>
      <c r="T28" s="9">
        <f t="shared" si="0"/>
        <v>27.585623103142328</v>
      </c>
    </row>
    <row r="29" spans="1:20" x14ac:dyDescent="0.25">
      <c r="A29" s="6" t="str">
        <f>"68081758"</f>
        <v>68081758</v>
      </c>
      <c r="B29" s="6" t="s">
        <v>37</v>
      </c>
      <c r="C29" s="6"/>
      <c r="D29" s="6"/>
      <c r="E29" s="6">
        <v>147</v>
      </c>
      <c r="F29" s="6">
        <v>1420.9605800869999</v>
      </c>
      <c r="G29" s="6">
        <v>1251.0906279291</v>
      </c>
      <c r="H29" s="6">
        <v>0</v>
      </c>
      <c r="I29" s="6">
        <v>0</v>
      </c>
      <c r="J29" s="6">
        <v>0</v>
      </c>
      <c r="K29" s="6">
        <v>3.5833300000000001</v>
      </c>
      <c r="L29" s="6">
        <v>0</v>
      </c>
      <c r="M29" s="6">
        <v>156.374</v>
      </c>
      <c r="N29" s="6">
        <v>140.73699999999999</v>
      </c>
      <c r="O29" s="6">
        <v>0</v>
      </c>
      <c r="P29" s="6">
        <v>0</v>
      </c>
      <c r="Q29" s="6">
        <v>189.43732728020001</v>
      </c>
      <c r="R29" s="6">
        <v>189.43732728020001</v>
      </c>
      <c r="S29" s="6">
        <v>173.01</v>
      </c>
      <c r="T29" s="9">
        <f t="shared" si="0"/>
        <v>1754.2749552093001</v>
      </c>
    </row>
    <row r="30" spans="1:20" x14ac:dyDescent="0.25">
      <c r="A30" s="6" t="str">
        <f>"67985912"</f>
        <v>67985912</v>
      </c>
      <c r="B30" s="6" t="s">
        <v>38</v>
      </c>
      <c r="C30" s="6"/>
      <c r="D30" s="6"/>
      <c r="E30" s="6">
        <v>504</v>
      </c>
      <c r="F30" s="6">
        <v>6018.3012295552999</v>
      </c>
      <c r="G30" s="6">
        <v>5181.4489823365002</v>
      </c>
      <c r="H30" s="6">
        <v>0</v>
      </c>
      <c r="I30" s="6">
        <v>0</v>
      </c>
      <c r="J30" s="6">
        <v>0</v>
      </c>
      <c r="K30" s="6">
        <v>3.16194</v>
      </c>
      <c r="L30" s="6">
        <v>2</v>
      </c>
      <c r="M30" s="6">
        <v>585.86800000000005</v>
      </c>
      <c r="N30" s="6">
        <v>653.45100000000002</v>
      </c>
      <c r="O30" s="6">
        <v>0</v>
      </c>
      <c r="P30" s="6">
        <v>0</v>
      </c>
      <c r="Q30" s="6">
        <v>196.5338135769</v>
      </c>
      <c r="R30" s="6">
        <v>196.5338135769</v>
      </c>
      <c r="S30" s="6">
        <v>481.05700000000002</v>
      </c>
      <c r="T30" s="9">
        <f t="shared" si="0"/>
        <v>6512.4907959133998</v>
      </c>
    </row>
    <row r="31" spans="1:20" x14ac:dyDescent="0.25">
      <c r="A31" s="6" t="str">
        <f>"75112817"</f>
        <v>75112817</v>
      </c>
      <c r="B31" s="6" t="s">
        <v>39</v>
      </c>
      <c r="C31" s="6"/>
      <c r="D31" s="6"/>
      <c r="E31" s="6">
        <v>4</v>
      </c>
      <c r="F31" s="6">
        <v>0.85100001096724998</v>
      </c>
      <c r="G31" s="6">
        <v>0.57500000298023002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/>
      <c r="Q31" s="6">
        <v>0</v>
      </c>
      <c r="R31" s="6">
        <v>0</v>
      </c>
      <c r="S31" s="6">
        <v>0</v>
      </c>
      <c r="T31" s="9">
        <f t="shared" si="0"/>
        <v>0.57500000298023002</v>
      </c>
    </row>
    <row r="32" spans="1:20" x14ac:dyDescent="0.25">
      <c r="A32" s="6" t="str">
        <f>"67985815"</f>
        <v>67985815</v>
      </c>
      <c r="B32" s="6" t="s">
        <v>40</v>
      </c>
      <c r="C32" s="6"/>
      <c r="D32" s="6"/>
      <c r="E32" s="6">
        <v>544</v>
      </c>
      <c r="F32" s="6">
        <v>15120.315038065</v>
      </c>
      <c r="G32" s="6">
        <v>20409.781756586999</v>
      </c>
      <c r="H32" s="6">
        <v>0</v>
      </c>
      <c r="I32" s="6">
        <v>0</v>
      </c>
      <c r="J32" s="6">
        <v>0</v>
      </c>
      <c r="K32" s="6">
        <v>8.5791199999999996</v>
      </c>
      <c r="L32" s="6">
        <v>3</v>
      </c>
      <c r="M32" s="6">
        <v>2545.89</v>
      </c>
      <c r="N32" s="6">
        <v>2512.29</v>
      </c>
      <c r="O32" s="6">
        <v>0</v>
      </c>
      <c r="P32" s="6"/>
      <c r="Q32" s="6">
        <v>0</v>
      </c>
      <c r="R32" s="6">
        <v>0</v>
      </c>
      <c r="S32" s="6">
        <v>52.663699999999999</v>
      </c>
      <c r="T32" s="9">
        <f t="shared" si="0"/>
        <v>22974.735456587001</v>
      </c>
    </row>
    <row r="33" spans="1:20" x14ac:dyDescent="0.25">
      <c r="A33" s="6" t="str">
        <f>"41601670"</f>
        <v>41601670</v>
      </c>
      <c r="B33" s="6" t="s">
        <v>41</v>
      </c>
      <c r="C33" s="6"/>
      <c r="D33" s="6"/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/>
      <c r="Q33" s="6">
        <v>0</v>
      </c>
      <c r="R33" s="6">
        <v>0</v>
      </c>
      <c r="S33" s="6">
        <v>0</v>
      </c>
      <c r="T33" s="9">
        <f t="shared" si="0"/>
        <v>0</v>
      </c>
    </row>
    <row r="34" spans="1:20" x14ac:dyDescent="0.25">
      <c r="A34" s="6" t="str">
        <f>"68081707"</f>
        <v>68081707</v>
      </c>
      <c r="B34" s="6" t="s">
        <v>42</v>
      </c>
      <c r="C34" s="6"/>
      <c r="D34" s="6"/>
      <c r="E34" s="6">
        <v>540</v>
      </c>
      <c r="F34" s="6">
        <v>17381.733835332001</v>
      </c>
      <c r="G34" s="6">
        <v>23085.592100141999</v>
      </c>
      <c r="H34" s="6">
        <v>1</v>
      </c>
      <c r="I34" s="6">
        <v>1</v>
      </c>
      <c r="J34" s="6">
        <v>2000</v>
      </c>
      <c r="K34" s="6">
        <v>5.7904799999999996</v>
      </c>
      <c r="L34" s="6">
        <v>2</v>
      </c>
      <c r="M34" s="6">
        <v>2705.54</v>
      </c>
      <c r="N34" s="6">
        <v>2936.03</v>
      </c>
      <c r="O34" s="6">
        <v>0</v>
      </c>
      <c r="P34" s="6">
        <v>0</v>
      </c>
      <c r="Q34" s="6">
        <v>44.317250158299998</v>
      </c>
      <c r="R34" s="6">
        <v>44.317250158299998</v>
      </c>
      <c r="S34" s="6">
        <v>119.05500000000001</v>
      </c>
      <c r="T34" s="9">
        <f t="shared" si="0"/>
        <v>28184.994350300298</v>
      </c>
    </row>
    <row r="35" spans="1:20" x14ac:dyDescent="0.25">
      <c r="A35" s="6" t="str">
        <f>"60077344"</f>
        <v>60077344</v>
      </c>
      <c r="B35" s="6" t="s">
        <v>43</v>
      </c>
      <c r="C35" s="6"/>
      <c r="D35" s="6"/>
      <c r="E35" s="6">
        <v>1601</v>
      </c>
      <c r="F35" s="6">
        <v>34034.773041196</v>
      </c>
      <c r="G35" s="6">
        <v>35080.924945095998</v>
      </c>
      <c r="H35" s="6">
        <v>0</v>
      </c>
      <c r="I35" s="6">
        <v>0</v>
      </c>
      <c r="J35" s="6">
        <v>0</v>
      </c>
      <c r="K35" s="6">
        <v>19.295300000000001</v>
      </c>
      <c r="L35" s="6">
        <v>11</v>
      </c>
      <c r="M35" s="6">
        <v>4850.87</v>
      </c>
      <c r="N35" s="6">
        <v>5236.71</v>
      </c>
      <c r="O35" s="6">
        <v>10</v>
      </c>
      <c r="P35" s="6">
        <v>10</v>
      </c>
      <c r="Q35" s="6">
        <v>312.30674996200003</v>
      </c>
      <c r="R35" s="6">
        <v>322.30674996200003</v>
      </c>
      <c r="S35" s="6">
        <v>1092.43</v>
      </c>
      <c r="T35" s="9">
        <f t="shared" si="0"/>
        <v>41732.371695057998</v>
      </c>
    </row>
    <row r="36" spans="1:20" x14ac:dyDescent="0.25">
      <c r="A36" s="6" t="str">
        <f>"86652036"</f>
        <v>86652036</v>
      </c>
      <c r="B36" s="6" t="s">
        <v>44</v>
      </c>
      <c r="C36" s="6"/>
      <c r="D36" s="6"/>
      <c r="E36" s="6">
        <v>148</v>
      </c>
      <c r="F36" s="6">
        <v>3748.9508795330999</v>
      </c>
      <c r="G36" s="6">
        <v>4005.4383270756998</v>
      </c>
      <c r="H36" s="6">
        <v>0</v>
      </c>
      <c r="I36" s="6">
        <v>0</v>
      </c>
      <c r="J36" s="6">
        <v>0</v>
      </c>
      <c r="K36" s="6">
        <v>2.0714299999999999</v>
      </c>
      <c r="L36" s="6">
        <v>0</v>
      </c>
      <c r="M36" s="6">
        <v>682.47199999999998</v>
      </c>
      <c r="N36" s="6">
        <v>614.22500000000002</v>
      </c>
      <c r="O36" s="6">
        <v>120</v>
      </c>
      <c r="P36" s="6">
        <v>60</v>
      </c>
      <c r="Q36" s="6">
        <v>46.178288351399999</v>
      </c>
      <c r="R36" s="6">
        <v>106.1782883514</v>
      </c>
      <c r="S36" s="6">
        <v>594.21199999999999</v>
      </c>
      <c r="T36" s="9">
        <f t="shared" si="0"/>
        <v>5320.0536154270994</v>
      </c>
    </row>
    <row r="37" spans="1:20" x14ac:dyDescent="0.25">
      <c r="A37" s="6" t="str">
        <f>"67985939"</f>
        <v>67985939</v>
      </c>
      <c r="B37" s="6" t="s">
        <v>45</v>
      </c>
      <c r="C37" s="6"/>
      <c r="D37" s="6"/>
      <c r="E37" s="6">
        <v>991</v>
      </c>
      <c r="F37" s="6">
        <v>23625.601063098002</v>
      </c>
      <c r="G37" s="6">
        <v>24399.243089471001</v>
      </c>
      <c r="H37" s="6">
        <v>1</v>
      </c>
      <c r="I37" s="6">
        <v>1</v>
      </c>
      <c r="J37" s="6">
        <v>2000</v>
      </c>
      <c r="K37" s="6">
        <v>3.6347</v>
      </c>
      <c r="L37" s="6">
        <v>2</v>
      </c>
      <c r="M37" s="6">
        <v>2753.74</v>
      </c>
      <c r="N37" s="6">
        <v>2794.31</v>
      </c>
      <c r="O37" s="6">
        <v>0</v>
      </c>
      <c r="P37" s="6">
        <v>0</v>
      </c>
      <c r="Q37" s="6">
        <v>317.54219806549997</v>
      </c>
      <c r="R37" s="6">
        <v>317.54219806549997</v>
      </c>
      <c r="S37" s="6">
        <v>881.31899999999996</v>
      </c>
      <c r="T37" s="9">
        <f t="shared" si="0"/>
        <v>30392.414287536503</v>
      </c>
    </row>
    <row r="38" spans="1:20" x14ac:dyDescent="0.25">
      <c r="A38" s="6" t="str">
        <f>"49366378"</f>
        <v>49366378</v>
      </c>
      <c r="B38" s="6" t="s">
        <v>46</v>
      </c>
      <c r="C38" s="6"/>
      <c r="D38" s="6"/>
      <c r="E38" s="6">
        <v>7</v>
      </c>
      <c r="F38" s="6">
        <v>26.706000506877999</v>
      </c>
      <c r="G38" s="6">
        <v>35.515999853611</v>
      </c>
      <c r="H38" s="6">
        <v>0</v>
      </c>
      <c r="I38" s="6">
        <v>0</v>
      </c>
      <c r="J38" s="6">
        <v>0</v>
      </c>
      <c r="K38" s="6">
        <v>1</v>
      </c>
      <c r="L38" s="6">
        <v>0</v>
      </c>
      <c r="M38" s="6">
        <v>25.877700000000001</v>
      </c>
      <c r="N38" s="6">
        <v>23.289899999999999</v>
      </c>
      <c r="O38" s="6">
        <v>0</v>
      </c>
      <c r="P38" s="6"/>
      <c r="Q38" s="6">
        <v>0</v>
      </c>
      <c r="R38" s="6">
        <v>0</v>
      </c>
      <c r="S38" s="6">
        <v>160.58099999999999</v>
      </c>
      <c r="T38" s="9">
        <f t="shared" si="0"/>
        <v>219.386899853611</v>
      </c>
    </row>
    <row r="39" spans="1:20" x14ac:dyDescent="0.25">
      <c r="A39" s="6" t="str">
        <f>"45249130"</f>
        <v>45249130</v>
      </c>
      <c r="B39" s="6" t="s">
        <v>47</v>
      </c>
      <c r="C39" s="6"/>
      <c r="D39" s="6"/>
      <c r="E39" s="6">
        <v>16</v>
      </c>
      <c r="F39" s="6">
        <v>103.10299989581</v>
      </c>
      <c r="G39" s="6">
        <v>103.81199908257</v>
      </c>
      <c r="H39" s="6">
        <v>0</v>
      </c>
      <c r="I39" s="6">
        <v>0</v>
      </c>
      <c r="J39" s="6">
        <v>0</v>
      </c>
      <c r="K39" s="6">
        <v>0.88888900000000004</v>
      </c>
      <c r="L39" s="6">
        <v>0</v>
      </c>
      <c r="M39" s="6">
        <v>29.808</v>
      </c>
      <c r="N39" s="6">
        <v>26.827200000000001</v>
      </c>
      <c r="O39" s="6">
        <v>0</v>
      </c>
      <c r="P39" s="6">
        <v>0</v>
      </c>
      <c r="Q39" s="6">
        <v>44.153642404999999</v>
      </c>
      <c r="R39" s="6">
        <v>44.153642404999999</v>
      </c>
      <c r="S39" s="6">
        <v>196.303</v>
      </c>
      <c r="T39" s="9">
        <f t="shared" si="0"/>
        <v>371.09584148757</v>
      </c>
    </row>
    <row r="40" spans="1:20" x14ac:dyDescent="0.25">
      <c r="A40" s="6" t="str">
        <f>"44994575"</f>
        <v>44994575</v>
      </c>
      <c r="B40" s="6" t="s">
        <v>48</v>
      </c>
      <c r="C40" s="6"/>
      <c r="D40" s="6"/>
      <c r="E40" s="6">
        <v>68</v>
      </c>
      <c r="F40" s="6">
        <v>1119.8444159313001</v>
      </c>
      <c r="G40" s="6">
        <v>987.18895859536997</v>
      </c>
      <c r="H40" s="6">
        <v>0</v>
      </c>
      <c r="I40" s="6">
        <v>0</v>
      </c>
      <c r="J40" s="6">
        <v>0</v>
      </c>
      <c r="K40" s="6">
        <v>1.8</v>
      </c>
      <c r="L40" s="6">
        <v>0</v>
      </c>
      <c r="M40" s="6">
        <v>463.30599999999998</v>
      </c>
      <c r="N40" s="6">
        <v>416.97500000000002</v>
      </c>
      <c r="O40" s="6">
        <v>0</v>
      </c>
      <c r="P40" s="6">
        <v>0</v>
      </c>
      <c r="Q40" s="6">
        <v>1282.1939621245999</v>
      </c>
      <c r="R40" s="6">
        <v>1282.1939621245999</v>
      </c>
      <c r="S40" s="6">
        <v>4162.95</v>
      </c>
      <c r="T40" s="9">
        <f t="shared" si="0"/>
        <v>6849.3079207199698</v>
      </c>
    </row>
    <row r="41" spans="1:20" x14ac:dyDescent="0.25">
      <c r="A41" s="6" t="str">
        <f>"25473361"</f>
        <v>25473361</v>
      </c>
      <c r="B41" s="6" t="s">
        <v>49</v>
      </c>
      <c r="C41" s="6"/>
      <c r="D41" s="6"/>
      <c r="E41" s="6">
        <v>16</v>
      </c>
      <c r="F41" s="6">
        <v>217.52999961376</v>
      </c>
      <c r="G41" s="6">
        <v>201.67699992657001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/>
      <c r="Q41" s="6">
        <v>0</v>
      </c>
      <c r="R41" s="6">
        <v>0</v>
      </c>
      <c r="S41" s="6">
        <v>0</v>
      </c>
      <c r="T41" s="9">
        <f t="shared" si="0"/>
        <v>201.67699992657001</v>
      </c>
    </row>
    <row r="42" spans="1:20" x14ac:dyDescent="0.25">
      <c r="A42" s="6" t="str">
        <f>"28645413"</f>
        <v>28645413</v>
      </c>
      <c r="B42" s="6" t="s">
        <v>50</v>
      </c>
      <c r="C42" s="6"/>
      <c r="D42" s="6"/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137.328257874</v>
      </c>
      <c r="R42" s="6">
        <v>137.328257874</v>
      </c>
      <c r="S42" s="6">
        <v>69.533000000000001</v>
      </c>
      <c r="T42" s="9">
        <f t="shared" si="0"/>
        <v>206.86125787399999</v>
      </c>
    </row>
    <row r="43" spans="1:20" x14ac:dyDescent="0.25">
      <c r="A43" s="6" t="str">
        <f>"00209775"</f>
        <v>00209775</v>
      </c>
      <c r="B43" s="6" t="s">
        <v>51</v>
      </c>
      <c r="C43" s="6"/>
      <c r="D43" s="6"/>
      <c r="E43" s="6">
        <v>78</v>
      </c>
      <c r="F43" s="6">
        <v>751.63770136106996</v>
      </c>
      <c r="G43" s="6">
        <v>697.54072711106005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43.274250731400002</v>
      </c>
      <c r="R43" s="6">
        <v>43.274250731400002</v>
      </c>
      <c r="S43" s="6">
        <v>58.508000000000003</v>
      </c>
      <c r="T43" s="9">
        <f t="shared" si="0"/>
        <v>799.32297784246009</v>
      </c>
    </row>
    <row r="44" spans="1:20" x14ac:dyDescent="0.25">
      <c r="A44" s="6" t="str">
        <f>"28778758"</f>
        <v>28778758</v>
      </c>
      <c r="B44" s="6" t="s">
        <v>52</v>
      </c>
      <c r="C44" s="6"/>
      <c r="D44" s="6"/>
      <c r="E44" s="6">
        <v>14</v>
      </c>
      <c r="F44" s="6">
        <v>174.29632701316001</v>
      </c>
      <c r="G44" s="6">
        <v>188.46628413386</v>
      </c>
      <c r="H44" s="6">
        <v>0</v>
      </c>
      <c r="I44" s="6">
        <v>0</v>
      </c>
      <c r="J44" s="6">
        <v>0</v>
      </c>
      <c r="K44" s="6">
        <v>1.1168800000000001</v>
      </c>
      <c r="L44" s="6">
        <v>0</v>
      </c>
      <c r="M44" s="6">
        <v>62.249400000000001</v>
      </c>
      <c r="N44" s="6">
        <v>56.024500000000003</v>
      </c>
      <c r="O44" s="6">
        <v>50</v>
      </c>
      <c r="P44" s="6">
        <v>16.670000076293999</v>
      </c>
      <c r="Q44" s="6">
        <v>214.8987838779</v>
      </c>
      <c r="R44" s="6">
        <v>231.5687839542</v>
      </c>
      <c r="S44" s="6">
        <v>824.846</v>
      </c>
      <c r="T44" s="9">
        <f t="shared" si="0"/>
        <v>1300.9055680880601</v>
      </c>
    </row>
    <row r="45" spans="1:20" x14ac:dyDescent="0.25">
      <c r="A45" s="6" t="str">
        <f>"22686860"</f>
        <v>22686860</v>
      </c>
      <c r="B45" s="6" t="s">
        <v>53</v>
      </c>
      <c r="C45" s="6"/>
      <c r="D45" s="6"/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126.489244222</v>
      </c>
      <c r="R45" s="6">
        <v>126.489244222</v>
      </c>
      <c r="S45" s="6">
        <v>130.822</v>
      </c>
      <c r="T45" s="9">
        <f t="shared" si="0"/>
        <v>257.31124422200003</v>
      </c>
    </row>
    <row r="46" spans="1:20" x14ac:dyDescent="0.25">
      <c r="A46" s="6" t="str">
        <f>"00237752"</f>
        <v>00237752</v>
      </c>
      <c r="B46" s="6" t="s">
        <v>54</v>
      </c>
      <c r="C46" s="6"/>
      <c r="D46" s="6"/>
      <c r="E46" s="6">
        <v>33</v>
      </c>
      <c r="F46" s="6">
        <v>319.15442745581998</v>
      </c>
      <c r="G46" s="6">
        <v>277.78336213774998</v>
      </c>
      <c r="H46" s="6">
        <v>0</v>
      </c>
      <c r="I46" s="6">
        <v>0</v>
      </c>
      <c r="J46" s="6">
        <v>0</v>
      </c>
      <c r="K46" s="6">
        <v>1</v>
      </c>
      <c r="L46" s="6">
        <v>0</v>
      </c>
      <c r="M46" s="6">
        <v>44.334899999999998</v>
      </c>
      <c r="N46" s="6">
        <v>39.901400000000002</v>
      </c>
      <c r="O46" s="6">
        <v>0</v>
      </c>
      <c r="P46" s="6">
        <v>0</v>
      </c>
      <c r="Q46" s="6">
        <v>15.2359720203</v>
      </c>
      <c r="R46" s="6">
        <v>15.2359720203</v>
      </c>
      <c r="S46" s="6">
        <v>0</v>
      </c>
      <c r="T46" s="9">
        <f t="shared" si="0"/>
        <v>332.92073415804998</v>
      </c>
    </row>
    <row r="47" spans="1:20" x14ac:dyDescent="0.25">
      <c r="A47" s="6" t="str">
        <f>"67179843"</f>
        <v>67179843</v>
      </c>
      <c r="B47" s="6" t="s">
        <v>55</v>
      </c>
      <c r="C47" s="6"/>
      <c r="D47" s="6"/>
      <c r="E47" s="6">
        <v>432</v>
      </c>
      <c r="F47" s="6">
        <v>8311.5260756776006</v>
      </c>
      <c r="G47" s="6">
        <v>8460.1044787974006</v>
      </c>
      <c r="H47" s="6">
        <v>0</v>
      </c>
      <c r="I47" s="6">
        <v>0</v>
      </c>
      <c r="J47" s="6">
        <v>0</v>
      </c>
      <c r="K47" s="6">
        <v>5.0378499999999997</v>
      </c>
      <c r="L47" s="6">
        <v>0</v>
      </c>
      <c r="M47" s="6">
        <v>977.82100000000003</v>
      </c>
      <c r="N47" s="6">
        <v>880.03899999999999</v>
      </c>
      <c r="O47" s="6">
        <v>100</v>
      </c>
      <c r="P47" s="6">
        <v>100</v>
      </c>
      <c r="Q47" s="6">
        <v>271.60932134389998</v>
      </c>
      <c r="R47" s="6">
        <v>371.60932134389998</v>
      </c>
      <c r="S47" s="6">
        <v>495.86900000000003</v>
      </c>
      <c r="T47" s="9">
        <f t="shared" si="0"/>
        <v>10207.621800141302</v>
      </c>
    </row>
    <row r="48" spans="1:20" x14ac:dyDescent="0.25">
      <c r="A48" s="6" t="str">
        <f>"26722445"</f>
        <v>26722445</v>
      </c>
      <c r="B48" s="6" t="s">
        <v>56</v>
      </c>
      <c r="C48" s="6"/>
      <c r="D48" s="6"/>
      <c r="E48" s="6">
        <v>146</v>
      </c>
      <c r="F48" s="6">
        <v>1812.429754043</v>
      </c>
      <c r="G48" s="6">
        <v>1718.4911031571</v>
      </c>
      <c r="H48" s="6">
        <v>0</v>
      </c>
      <c r="I48" s="6">
        <v>0</v>
      </c>
      <c r="J48" s="6">
        <v>0</v>
      </c>
      <c r="K48" s="6">
        <v>2.4444400000000002</v>
      </c>
      <c r="L48" s="6">
        <v>0</v>
      </c>
      <c r="M48" s="6">
        <v>664.976</v>
      </c>
      <c r="N48" s="6">
        <v>598.47799999999995</v>
      </c>
      <c r="O48" s="6">
        <v>10</v>
      </c>
      <c r="P48" s="6">
        <v>10</v>
      </c>
      <c r="Q48" s="6">
        <v>2128.271007025</v>
      </c>
      <c r="R48" s="6">
        <v>2138.271007025</v>
      </c>
      <c r="S48" s="6">
        <v>4069.07</v>
      </c>
      <c r="T48" s="9">
        <f t="shared" si="0"/>
        <v>8524.3101101820994</v>
      </c>
    </row>
    <row r="49" spans="1:20" x14ac:dyDescent="0.25">
      <c r="A49" s="6" t="str">
        <f>"63839172"</f>
        <v>63839172</v>
      </c>
      <c r="B49" s="6" t="s">
        <v>57</v>
      </c>
      <c r="C49" s="6"/>
      <c r="D49" s="6"/>
      <c r="E49" s="6">
        <v>97</v>
      </c>
      <c r="F49" s="6">
        <v>1260.5540124526999</v>
      </c>
      <c r="G49" s="6">
        <v>985.78626412579001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391.483</v>
      </c>
      <c r="N49" s="6">
        <v>352.33499999999998</v>
      </c>
      <c r="O49" s="6">
        <v>410</v>
      </c>
      <c r="P49" s="6">
        <v>410</v>
      </c>
      <c r="Q49" s="6">
        <v>68.224433100200002</v>
      </c>
      <c r="R49" s="6">
        <v>478.22443310019997</v>
      </c>
      <c r="S49" s="6">
        <v>1729.81</v>
      </c>
      <c r="T49" s="9">
        <f t="shared" si="0"/>
        <v>3546.15569722599</v>
      </c>
    </row>
    <row r="50" spans="1:20" x14ac:dyDescent="0.25">
      <c r="A50" s="6" t="str">
        <f>"26316919"</f>
        <v>26316919</v>
      </c>
      <c r="B50" s="6" t="s">
        <v>58</v>
      </c>
      <c r="C50" s="6"/>
      <c r="D50" s="6"/>
      <c r="E50" s="6">
        <v>85</v>
      </c>
      <c r="F50" s="6">
        <v>854.78329941229003</v>
      </c>
      <c r="G50" s="6">
        <v>703.96723240411995</v>
      </c>
      <c r="H50" s="6">
        <v>0</v>
      </c>
      <c r="I50" s="6">
        <v>0</v>
      </c>
      <c r="J50" s="6">
        <v>0</v>
      </c>
      <c r="K50" s="6">
        <v>1.5714300000000001</v>
      </c>
      <c r="L50" s="6">
        <v>0</v>
      </c>
      <c r="M50" s="6">
        <v>346.21899999999999</v>
      </c>
      <c r="N50" s="6">
        <v>311.59699999999998</v>
      </c>
      <c r="O50" s="6">
        <v>0</v>
      </c>
      <c r="P50" s="6">
        <v>0</v>
      </c>
      <c r="Q50" s="6">
        <v>693.41056016020002</v>
      </c>
      <c r="R50" s="6">
        <v>693.41056016020002</v>
      </c>
      <c r="S50" s="6">
        <v>2782.82</v>
      </c>
      <c r="T50" s="9">
        <f t="shared" si="0"/>
        <v>4491.7947925643202</v>
      </c>
    </row>
    <row r="51" spans="1:20" x14ac:dyDescent="0.25">
      <c r="A51" s="6" t="str">
        <f>"26633191"</f>
        <v>26633191</v>
      </c>
      <c r="B51" s="6" t="s">
        <v>59</v>
      </c>
      <c r="C51" s="6"/>
      <c r="D51" s="6"/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/>
      <c r="Q51" s="6">
        <v>0</v>
      </c>
      <c r="R51" s="6">
        <v>0</v>
      </c>
      <c r="S51" s="6">
        <v>0</v>
      </c>
      <c r="T51" s="9">
        <f t="shared" si="0"/>
        <v>0</v>
      </c>
    </row>
    <row r="52" spans="1:20" x14ac:dyDescent="0.25">
      <c r="A52" s="6" t="str">
        <f>"00025798"</f>
        <v>00025798</v>
      </c>
      <c r="B52" s="6" t="s">
        <v>60</v>
      </c>
      <c r="C52" s="6"/>
      <c r="D52" s="6"/>
      <c r="E52" s="6">
        <v>660</v>
      </c>
      <c r="F52" s="6">
        <v>13231.911855703</v>
      </c>
      <c r="G52" s="6">
        <v>12490.045885948</v>
      </c>
      <c r="H52" s="6">
        <v>0</v>
      </c>
      <c r="I52" s="6">
        <v>0</v>
      </c>
      <c r="J52" s="6">
        <v>0</v>
      </c>
      <c r="K52" s="6">
        <v>8.33413</v>
      </c>
      <c r="L52" s="6">
        <v>3</v>
      </c>
      <c r="M52" s="6">
        <v>3569.79</v>
      </c>
      <c r="N52" s="6">
        <v>3786.96</v>
      </c>
      <c r="O52" s="6">
        <v>120</v>
      </c>
      <c r="P52" s="6">
        <v>120</v>
      </c>
      <c r="Q52" s="6">
        <v>400.71628961779999</v>
      </c>
      <c r="R52" s="6">
        <v>520.71628961780004</v>
      </c>
      <c r="S52" s="6">
        <v>11303.6</v>
      </c>
      <c r="T52" s="9">
        <f t="shared" si="0"/>
        <v>28101.322175565801</v>
      </c>
    </row>
    <row r="53" spans="1:20" x14ac:dyDescent="0.25">
      <c r="A53" s="6" t="str">
        <f>"27142949"</f>
        <v>27142949</v>
      </c>
      <c r="B53" s="6" t="s">
        <v>61</v>
      </c>
      <c r="C53" s="6"/>
      <c r="D53" s="6"/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/>
      <c r="Q53" s="6">
        <v>0</v>
      </c>
      <c r="R53" s="6">
        <v>0</v>
      </c>
      <c r="S53" s="6">
        <v>0</v>
      </c>
      <c r="T53" s="9">
        <f t="shared" si="0"/>
        <v>0</v>
      </c>
    </row>
    <row r="54" spans="1:20" x14ac:dyDescent="0.25">
      <c r="A54" s="6" t="str">
        <f t="shared" ref="A54:A74" si="2">"60460709"</f>
        <v>60460709</v>
      </c>
      <c r="B54" s="6" t="s">
        <v>62</v>
      </c>
      <c r="C54" s="6"/>
      <c r="D54" s="6" t="s">
        <v>246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/>
      <c r="Q54" s="6">
        <v>0</v>
      </c>
      <c r="R54" s="6">
        <v>0</v>
      </c>
      <c r="S54" s="6">
        <v>0</v>
      </c>
      <c r="T54" s="9">
        <f t="shared" si="0"/>
        <v>0</v>
      </c>
    </row>
    <row r="55" spans="1:20" x14ac:dyDescent="0.25">
      <c r="A55" s="6" t="str">
        <f t="shared" si="2"/>
        <v>60460709</v>
      </c>
      <c r="B55" s="6" t="s">
        <v>62</v>
      </c>
      <c r="C55" s="6"/>
      <c r="D55" s="6"/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13.4937</v>
      </c>
      <c r="L55" s="6">
        <v>0</v>
      </c>
      <c r="M55" s="6">
        <v>0.92300000000000004</v>
      </c>
      <c r="N55" s="6">
        <v>0.83069999999999999</v>
      </c>
      <c r="O55" s="6">
        <v>0</v>
      </c>
      <c r="P55" s="6"/>
      <c r="Q55" s="6">
        <v>0</v>
      </c>
      <c r="R55" s="6">
        <v>0</v>
      </c>
      <c r="S55" s="6">
        <v>0</v>
      </c>
      <c r="T55" s="9">
        <f t="shared" si="0"/>
        <v>0.83069999999999999</v>
      </c>
    </row>
    <row r="56" spans="1:20" x14ac:dyDescent="0.25">
      <c r="A56" s="6" t="str">
        <f t="shared" si="2"/>
        <v>60460709</v>
      </c>
      <c r="B56" s="6" t="s">
        <v>62</v>
      </c>
      <c r="C56" s="6">
        <v>41110</v>
      </c>
      <c r="D56" s="6" t="s">
        <v>260</v>
      </c>
      <c r="E56" s="6">
        <v>986</v>
      </c>
      <c r="F56" s="6">
        <v>11369.811163896</v>
      </c>
      <c r="G56" s="6">
        <v>8729.1900251218995</v>
      </c>
      <c r="H56" s="6">
        <v>0</v>
      </c>
      <c r="I56" s="6">
        <v>0</v>
      </c>
      <c r="J56" s="6">
        <v>0</v>
      </c>
      <c r="K56" s="6">
        <v>13.4937</v>
      </c>
      <c r="L56" s="6">
        <v>1</v>
      </c>
      <c r="M56" s="6">
        <v>814.69</v>
      </c>
      <c r="N56" s="6">
        <v>1035.4000000000001</v>
      </c>
      <c r="O56" s="6">
        <v>0</v>
      </c>
      <c r="P56" s="6">
        <v>0</v>
      </c>
      <c r="Q56" s="6">
        <v>88.041422211099999</v>
      </c>
      <c r="R56" s="6">
        <v>88.041422211099999</v>
      </c>
      <c r="S56" s="6">
        <v>606.13300000000004</v>
      </c>
      <c r="T56" s="9">
        <f t="shared" si="0"/>
        <v>10458.764447332998</v>
      </c>
    </row>
    <row r="57" spans="1:20" x14ac:dyDescent="0.25">
      <c r="A57" s="6" t="str">
        <f t="shared" si="2"/>
        <v>60460709</v>
      </c>
      <c r="B57" s="6" t="s">
        <v>62</v>
      </c>
      <c r="C57" s="6">
        <v>41210</v>
      </c>
      <c r="D57" s="6" t="s">
        <v>261</v>
      </c>
      <c r="E57" s="6">
        <v>1159</v>
      </c>
      <c r="F57" s="6">
        <v>17900.370071223999</v>
      </c>
      <c r="G57" s="6">
        <v>17776.117833789001</v>
      </c>
      <c r="H57" s="6">
        <v>0</v>
      </c>
      <c r="I57" s="6">
        <v>0</v>
      </c>
      <c r="J57" s="6">
        <v>0</v>
      </c>
      <c r="K57" s="6">
        <v>13.4937</v>
      </c>
      <c r="L57" s="6">
        <v>1</v>
      </c>
      <c r="M57" s="6">
        <v>1971.32</v>
      </c>
      <c r="N57" s="6">
        <v>2016.79</v>
      </c>
      <c r="O57" s="6">
        <v>60</v>
      </c>
      <c r="P57" s="6">
        <v>26.700000762938998</v>
      </c>
      <c r="Q57" s="6">
        <v>715.39535200160003</v>
      </c>
      <c r="R57" s="6">
        <v>742.09535276450003</v>
      </c>
      <c r="S57" s="6">
        <v>1934.74</v>
      </c>
      <c r="T57" s="9">
        <f t="shared" si="0"/>
        <v>22469.743186553504</v>
      </c>
    </row>
    <row r="58" spans="1:20" x14ac:dyDescent="0.25">
      <c r="A58" s="6" t="str">
        <f t="shared" si="2"/>
        <v>60460709</v>
      </c>
      <c r="B58" s="6" t="s">
        <v>62</v>
      </c>
      <c r="C58" s="6">
        <v>41310</v>
      </c>
      <c r="D58" s="6" t="s">
        <v>262</v>
      </c>
      <c r="E58" s="6">
        <v>497</v>
      </c>
      <c r="F58" s="6">
        <v>6801.0153704102004</v>
      </c>
      <c r="G58" s="6">
        <v>5996.4146973508996</v>
      </c>
      <c r="H58" s="6">
        <v>0</v>
      </c>
      <c r="I58" s="6">
        <v>0</v>
      </c>
      <c r="J58" s="6">
        <v>0</v>
      </c>
      <c r="K58" s="6">
        <v>13.4937</v>
      </c>
      <c r="L58" s="6">
        <v>0</v>
      </c>
      <c r="M58" s="6">
        <v>688.80499999999995</v>
      </c>
      <c r="N58" s="6">
        <v>619.92399999999998</v>
      </c>
      <c r="O58" s="6">
        <v>10</v>
      </c>
      <c r="P58" s="6">
        <v>10</v>
      </c>
      <c r="Q58" s="6">
        <v>146.2857823638</v>
      </c>
      <c r="R58" s="6">
        <v>156.2857823638</v>
      </c>
      <c r="S58" s="6">
        <v>2310.15</v>
      </c>
      <c r="T58" s="9">
        <f t="shared" si="0"/>
        <v>9082.7744797146988</v>
      </c>
    </row>
    <row r="59" spans="1:20" x14ac:dyDescent="0.25">
      <c r="A59" s="6" t="str">
        <f t="shared" si="2"/>
        <v>60460709</v>
      </c>
      <c r="B59" s="6" t="s">
        <v>62</v>
      </c>
      <c r="C59" s="6">
        <v>41320</v>
      </c>
      <c r="D59" s="6" t="s">
        <v>263</v>
      </c>
      <c r="E59" s="6">
        <v>717</v>
      </c>
      <c r="F59" s="6">
        <v>12952.952092318999</v>
      </c>
      <c r="G59" s="6">
        <v>12350.312298323999</v>
      </c>
      <c r="H59" s="6">
        <v>0</v>
      </c>
      <c r="I59" s="6">
        <v>0</v>
      </c>
      <c r="J59" s="6">
        <v>0</v>
      </c>
      <c r="K59" s="6">
        <v>13.4937</v>
      </c>
      <c r="L59" s="6">
        <v>0</v>
      </c>
      <c r="M59" s="6">
        <v>1342.14</v>
      </c>
      <c r="N59" s="6">
        <v>1207.93</v>
      </c>
      <c r="O59" s="6">
        <v>0</v>
      </c>
      <c r="P59" s="6">
        <v>0</v>
      </c>
      <c r="Q59" s="6">
        <v>433.00836991310001</v>
      </c>
      <c r="R59" s="6">
        <v>433.00836991310001</v>
      </c>
      <c r="S59" s="6">
        <v>3808.49</v>
      </c>
      <c r="T59" s="9">
        <f t="shared" si="0"/>
        <v>17799.7406682371</v>
      </c>
    </row>
    <row r="60" spans="1:20" x14ac:dyDescent="0.25">
      <c r="A60" s="6" t="str">
        <f t="shared" si="2"/>
        <v>60460709</v>
      </c>
      <c r="B60" s="6" t="s">
        <v>62</v>
      </c>
      <c r="C60" s="6">
        <v>41330</v>
      </c>
      <c r="D60" s="6" t="s">
        <v>264</v>
      </c>
      <c r="E60" s="6">
        <v>684</v>
      </c>
      <c r="F60" s="6">
        <v>11017.211943979</v>
      </c>
      <c r="G60" s="6">
        <v>10551.226090908</v>
      </c>
      <c r="H60" s="6">
        <v>0</v>
      </c>
      <c r="I60" s="6">
        <v>0</v>
      </c>
      <c r="J60" s="6">
        <v>0</v>
      </c>
      <c r="K60" s="6">
        <v>13.4937</v>
      </c>
      <c r="L60" s="6">
        <v>3</v>
      </c>
      <c r="M60" s="6">
        <v>1528.88</v>
      </c>
      <c r="N60" s="6">
        <v>2174.4499999999998</v>
      </c>
      <c r="O60" s="6">
        <v>0</v>
      </c>
      <c r="P60" s="6">
        <v>0</v>
      </c>
      <c r="Q60" s="6">
        <v>358.2805286217</v>
      </c>
      <c r="R60" s="6">
        <v>358.2805286217</v>
      </c>
      <c r="S60" s="6">
        <v>4207.79</v>
      </c>
      <c r="T60" s="9">
        <f t="shared" si="0"/>
        <v>17291.746619529702</v>
      </c>
    </row>
    <row r="61" spans="1:20" x14ac:dyDescent="0.25">
      <c r="A61" s="6" t="str">
        <f t="shared" si="2"/>
        <v>60460709</v>
      </c>
      <c r="B61" s="6" t="s">
        <v>62</v>
      </c>
      <c r="C61" s="6">
        <v>41340</v>
      </c>
      <c r="D61" s="6" t="s">
        <v>265</v>
      </c>
      <c r="E61" s="6">
        <v>112</v>
      </c>
      <c r="F61" s="6">
        <v>1535.3808832563</v>
      </c>
      <c r="G61" s="6">
        <v>1311.2589927646</v>
      </c>
      <c r="H61" s="6">
        <v>0</v>
      </c>
      <c r="I61" s="6">
        <v>0</v>
      </c>
      <c r="J61" s="6">
        <v>0</v>
      </c>
      <c r="K61" s="6">
        <v>13.4937</v>
      </c>
      <c r="L61" s="6">
        <v>0</v>
      </c>
      <c r="M61" s="6">
        <v>452.197</v>
      </c>
      <c r="N61" s="6">
        <v>406.97699999999998</v>
      </c>
      <c r="O61" s="6">
        <v>0</v>
      </c>
      <c r="P61" s="6"/>
      <c r="Q61" s="6">
        <v>0</v>
      </c>
      <c r="R61" s="6">
        <v>0</v>
      </c>
      <c r="S61" s="6">
        <v>90.161299999999997</v>
      </c>
      <c r="T61" s="9">
        <f t="shared" si="0"/>
        <v>1808.3972927645998</v>
      </c>
    </row>
    <row r="62" spans="1:20" x14ac:dyDescent="0.25">
      <c r="A62" s="6" t="str">
        <f t="shared" si="2"/>
        <v>60460709</v>
      </c>
      <c r="B62" s="6" t="s">
        <v>62</v>
      </c>
      <c r="C62" s="6">
        <v>41410</v>
      </c>
      <c r="D62" s="6" t="s">
        <v>266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/>
      <c r="Q62" s="6">
        <v>0</v>
      </c>
      <c r="R62" s="6">
        <v>0</v>
      </c>
      <c r="S62" s="6">
        <v>0</v>
      </c>
      <c r="T62" s="9">
        <f t="shared" si="0"/>
        <v>0</v>
      </c>
    </row>
    <row r="63" spans="1:20" x14ac:dyDescent="0.25">
      <c r="A63" s="6" t="str">
        <f t="shared" si="2"/>
        <v>60460709</v>
      </c>
      <c r="B63" s="6" t="s">
        <v>62</v>
      </c>
      <c r="C63" s="6">
        <v>41600</v>
      </c>
      <c r="D63" s="6" t="s">
        <v>267</v>
      </c>
      <c r="E63" s="6">
        <v>25</v>
      </c>
      <c r="F63" s="6">
        <v>113.3688816379</v>
      </c>
      <c r="G63" s="6">
        <v>105.62398574152</v>
      </c>
      <c r="H63" s="6">
        <v>0</v>
      </c>
      <c r="I63" s="6">
        <v>0</v>
      </c>
      <c r="J63" s="6">
        <v>0</v>
      </c>
      <c r="K63" s="6">
        <v>13.4937</v>
      </c>
      <c r="L63" s="6">
        <v>0</v>
      </c>
      <c r="M63" s="6">
        <v>11.871</v>
      </c>
      <c r="N63" s="6">
        <v>10.6839</v>
      </c>
      <c r="O63" s="6">
        <v>0</v>
      </c>
      <c r="P63" s="6"/>
      <c r="Q63" s="6">
        <v>0</v>
      </c>
      <c r="R63" s="6">
        <v>0</v>
      </c>
      <c r="S63" s="6">
        <v>0</v>
      </c>
      <c r="T63" s="9">
        <f t="shared" si="0"/>
        <v>116.30788574152</v>
      </c>
    </row>
    <row r="64" spans="1:20" x14ac:dyDescent="0.25">
      <c r="A64" s="6" t="str">
        <f t="shared" si="2"/>
        <v>60460709</v>
      </c>
      <c r="B64" s="6" t="s">
        <v>62</v>
      </c>
      <c r="C64" s="6">
        <v>41610</v>
      </c>
      <c r="D64" s="6" t="s">
        <v>268</v>
      </c>
      <c r="E64" s="6">
        <v>94</v>
      </c>
      <c r="F64" s="6">
        <v>925.12700080872003</v>
      </c>
      <c r="G64" s="6">
        <v>978.73500046878996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6.9942314509000001</v>
      </c>
      <c r="R64" s="6">
        <v>6.9942314509000001</v>
      </c>
      <c r="S64" s="6">
        <v>0</v>
      </c>
      <c r="T64" s="9">
        <f t="shared" si="0"/>
        <v>985.72923191968994</v>
      </c>
    </row>
    <row r="65" spans="1:20" x14ac:dyDescent="0.25">
      <c r="A65" s="6" t="str">
        <f t="shared" si="2"/>
        <v>60460709</v>
      </c>
      <c r="B65" s="6" t="s">
        <v>62</v>
      </c>
      <c r="C65" s="6">
        <v>41620</v>
      </c>
      <c r="D65" s="6" t="s">
        <v>269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/>
      <c r="Q65" s="6">
        <v>0</v>
      </c>
      <c r="R65" s="6">
        <v>0</v>
      </c>
      <c r="S65" s="6">
        <v>0</v>
      </c>
      <c r="T65" s="9">
        <f t="shared" si="0"/>
        <v>0</v>
      </c>
    </row>
    <row r="66" spans="1:20" x14ac:dyDescent="0.25">
      <c r="A66" s="6" t="str">
        <f t="shared" si="2"/>
        <v>60460709</v>
      </c>
      <c r="B66" s="6" t="s">
        <v>62</v>
      </c>
      <c r="C66" s="6">
        <v>41630</v>
      </c>
      <c r="D66" s="6" t="s">
        <v>270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/>
      <c r="Q66" s="6">
        <v>0</v>
      </c>
      <c r="R66" s="6">
        <v>0</v>
      </c>
      <c r="S66" s="6">
        <v>0</v>
      </c>
      <c r="T66" s="9">
        <f t="shared" si="0"/>
        <v>0</v>
      </c>
    </row>
    <row r="67" spans="1:20" x14ac:dyDescent="0.25">
      <c r="A67" s="6" t="str">
        <f t="shared" si="2"/>
        <v>60460709</v>
      </c>
      <c r="B67" s="6" t="s">
        <v>62</v>
      </c>
      <c r="C67" s="6">
        <v>41640</v>
      </c>
      <c r="D67" s="6" t="s">
        <v>271</v>
      </c>
      <c r="E67" s="6">
        <v>1</v>
      </c>
      <c r="F67" s="6">
        <v>3.2</v>
      </c>
      <c r="G67" s="6">
        <v>0.43363863609031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/>
      <c r="Q67" s="6">
        <v>0</v>
      </c>
      <c r="R67" s="6">
        <v>0</v>
      </c>
      <c r="S67" s="6">
        <v>0</v>
      </c>
      <c r="T67" s="9">
        <f t="shared" si="0"/>
        <v>0.43363863609031</v>
      </c>
    </row>
    <row r="68" spans="1:20" x14ac:dyDescent="0.25">
      <c r="A68" s="6" t="str">
        <f t="shared" si="2"/>
        <v>60460709</v>
      </c>
      <c r="B68" s="6" t="s">
        <v>62</v>
      </c>
      <c r="C68" s="6">
        <v>41650</v>
      </c>
      <c r="D68" s="6" t="s">
        <v>272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/>
      <c r="Q68" s="6">
        <v>0</v>
      </c>
      <c r="R68" s="6">
        <v>0</v>
      </c>
      <c r="S68" s="6">
        <v>0</v>
      </c>
      <c r="T68" s="9">
        <f t="shared" si="0"/>
        <v>0</v>
      </c>
    </row>
    <row r="69" spans="1:20" x14ac:dyDescent="0.25">
      <c r="A69" s="6" t="str">
        <f t="shared" si="2"/>
        <v>60460709</v>
      </c>
      <c r="B69" s="6" t="s">
        <v>62</v>
      </c>
      <c r="C69" s="6">
        <v>41660</v>
      </c>
      <c r="D69" s="6" t="s">
        <v>273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/>
      <c r="Q69" s="6">
        <v>0</v>
      </c>
      <c r="R69" s="6">
        <v>0</v>
      </c>
      <c r="S69" s="6">
        <v>0</v>
      </c>
      <c r="T69" s="9">
        <f t="shared" ref="T69:T132" si="3">G69+J69+N69+R69+S69</f>
        <v>0</v>
      </c>
    </row>
    <row r="70" spans="1:20" x14ac:dyDescent="0.25">
      <c r="A70" s="6" t="str">
        <f t="shared" si="2"/>
        <v>60460709</v>
      </c>
      <c r="B70" s="6" t="s">
        <v>62</v>
      </c>
      <c r="C70" s="6">
        <v>41670</v>
      </c>
      <c r="D70" s="6" t="s">
        <v>274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/>
      <c r="Q70" s="6">
        <v>0</v>
      </c>
      <c r="R70" s="6">
        <v>0</v>
      </c>
      <c r="S70" s="6">
        <v>0</v>
      </c>
      <c r="T70" s="9">
        <f t="shared" si="3"/>
        <v>0</v>
      </c>
    </row>
    <row r="71" spans="1:20" x14ac:dyDescent="0.25">
      <c r="A71" s="6" t="str">
        <f t="shared" si="2"/>
        <v>60460709</v>
      </c>
      <c r="B71" s="6" t="s">
        <v>62</v>
      </c>
      <c r="C71" s="6">
        <v>41680</v>
      </c>
      <c r="D71" s="6" t="s">
        <v>275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/>
      <c r="Q71" s="6">
        <v>0</v>
      </c>
      <c r="R71" s="6">
        <v>0</v>
      </c>
      <c r="S71" s="6">
        <v>0</v>
      </c>
      <c r="T71" s="9">
        <f t="shared" si="3"/>
        <v>0</v>
      </c>
    </row>
    <row r="72" spans="1:20" x14ac:dyDescent="0.25">
      <c r="A72" s="6" t="str">
        <f t="shared" si="2"/>
        <v>60460709</v>
      </c>
      <c r="B72" s="6" t="s">
        <v>62</v>
      </c>
      <c r="C72" s="6">
        <v>41690</v>
      </c>
      <c r="D72" s="6" t="s">
        <v>276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/>
      <c r="Q72" s="6">
        <v>0</v>
      </c>
      <c r="R72" s="6">
        <v>0</v>
      </c>
      <c r="S72" s="6">
        <v>0</v>
      </c>
      <c r="T72" s="9">
        <f t="shared" si="3"/>
        <v>0</v>
      </c>
    </row>
    <row r="73" spans="1:20" x14ac:dyDescent="0.25">
      <c r="A73" s="6" t="str">
        <f t="shared" si="2"/>
        <v>60460709</v>
      </c>
      <c r="B73" s="6" t="s">
        <v>62</v>
      </c>
      <c r="C73" s="6">
        <v>41810</v>
      </c>
      <c r="D73" s="6" t="s">
        <v>258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13.4937</v>
      </c>
      <c r="L73" s="6">
        <v>0</v>
      </c>
      <c r="M73" s="6">
        <v>1.617</v>
      </c>
      <c r="N73" s="6">
        <v>1.4553</v>
      </c>
      <c r="O73" s="6">
        <v>0</v>
      </c>
      <c r="P73" s="6">
        <v>0</v>
      </c>
      <c r="Q73" s="6">
        <v>22.557418977699999</v>
      </c>
      <c r="R73" s="6">
        <v>22.557418977699999</v>
      </c>
      <c r="S73" s="6">
        <v>38.558999999999997</v>
      </c>
      <c r="T73" s="9">
        <f t="shared" si="3"/>
        <v>62.571718977700002</v>
      </c>
    </row>
    <row r="74" spans="1:20" x14ac:dyDescent="0.25">
      <c r="A74" s="6" t="str">
        <f t="shared" si="2"/>
        <v>60460709</v>
      </c>
      <c r="B74" s="6" t="s">
        <v>62</v>
      </c>
      <c r="C74" s="6" t="s">
        <v>277</v>
      </c>
      <c r="D74" s="6" t="s">
        <v>257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/>
      <c r="Q74" s="6">
        <v>0</v>
      </c>
      <c r="R74" s="6">
        <v>0</v>
      </c>
      <c r="S74" s="6">
        <v>0</v>
      </c>
      <c r="T74" s="9">
        <f t="shared" si="3"/>
        <v>0</v>
      </c>
    </row>
    <row r="75" spans="1:20" x14ac:dyDescent="0.25">
      <c r="A75" s="6" t="str">
        <f t="shared" ref="A75:A99" si="4">"68407700"</f>
        <v>68407700</v>
      </c>
      <c r="B75" s="6" t="s">
        <v>63</v>
      </c>
      <c r="C75" s="6"/>
      <c r="D75" s="6" t="s">
        <v>246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/>
      <c r="Q75" s="6">
        <v>0</v>
      </c>
      <c r="R75" s="6">
        <v>0</v>
      </c>
      <c r="S75" s="6">
        <v>0</v>
      </c>
      <c r="T75" s="9">
        <f t="shared" si="3"/>
        <v>0</v>
      </c>
    </row>
    <row r="76" spans="1:20" x14ac:dyDescent="0.25">
      <c r="A76" s="6" t="str">
        <f t="shared" si="4"/>
        <v>68407700</v>
      </c>
      <c r="B76" s="6" t="s">
        <v>63</v>
      </c>
      <c r="C76" s="6"/>
      <c r="D76" s="6"/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/>
      <c r="Q76" s="6">
        <v>0</v>
      </c>
      <c r="R76" s="6">
        <v>0</v>
      </c>
      <c r="S76" s="6">
        <v>0</v>
      </c>
      <c r="T76" s="9">
        <f t="shared" si="3"/>
        <v>0</v>
      </c>
    </row>
    <row r="77" spans="1:20" x14ac:dyDescent="0.25">
      <c r="A77" s="6" t="str">
        <f t="shared" si="4"/>
        <v>68407700</v>
      </c>
      <c r="B77" s="6" t="s">
        <v>63</v>
      </c>
      <c r="C77" s="6">
        <v>21110</v>
      </c>
      <c r="D77" s="6" t="s">
        <v>278</v>
      </c>
      <c r="E77" s="6">
        <v>1992</v>
      </c>
      <c r="F77" s="6">
        <v>31744.083794514001</v>
      </c>
      <c r="G77" s="6">
        <v>29532.846144710002</v>
      </c>
      <c r="H77" s="6">
        <v>0</v>
      </c>
      <c r="I77" s="6">
        <v>0</v>
      </c>
      <c r="J77" s="6">
        <v>0</v>
      </c>
      <c r="K77" s="6">
        <v>64.753</v>
      </c>
      <c r="L77" s="6">
        <v>3</v>
      </c>
      <c r="M77" s="6">
        <v>5818.94</v>
      </c>
      <c r="N77" s="6">
        <v>5732.5</v>
      </c>
      <c r="O77" s="6">
        <v>100</v>
      </c>
      <c r="P77" s="6">
        <v>100</v>
      </c>
      <c r="Q77" s="6">
        <v>2636.2117279210001</v>
      </c>
      <c r="R77" s="6">
        <v>2736.2117279210001</v>
      </c>
      <c r="S77" s="6">
        <v>17785.3</v>
      </c>
      <c r="T77" s="9">
        <f t="shared" si="3"/>
        <v>55786.857872630993</v>
      </c>
    </row>
    <row r="78" spans="1:20" x14ac:dyDescent="0.25">
      <c r="A78" s="6" t="str">
        <f t="shared" si="4"/>
        <v>68407700</v>
      </c>
      <c r="B78" s="6" t="s">
        <v>63</v>
      </c>
      <c r="C78" s="6">
        <v>21220</v>
      </c>
      <c r="D78" s="6" t="s">
        <v>279</v>
      </c>
      <c r="E78" s="6">
        <v>1301</v>
      </c>
      <c r="F78" s="6">
        <v>12626.693340065</v>
      </c>
      <c r="G78" s="6">
        <v>12430.723840801</v>
      </c>
      <c r="H78" s="6">
        <v>0</v>
      </c>
      <c r="I78" s="6">
        <v>0</v>
      </c>
      <c r="J78" s="6">
        <v>0</v>
      </c>
      <c r="K78" s="6">
        <v>64.753</v>
      </c>
      <c r="L78" s="6">
        <v>2</v>
      </c>
      <c r="M78" s="6">
        <v>4296.37</v>
      </c>
      <c r="N78" s="6">
        <v>4021.31</v>
      </c>
      <c r="O78" s="6">
        <v>190</v>
      </c>
      <c r="P78" s="6">
        <v>177</v>
      </c>
      <c r="Q78" s="6">
        <v>4211.6725877245999</v>
      </c>
      <c r="R78" s="6">
        <v>4388.6725877245999</v>
      </c>
      <c r="S78" s="6">
        <v>21446.5</v>
      </c>
      <c r="T78" s="9">
        <f t="shared" si="3"/>
        <v>42287.206428525598</v>
      </c>
    </row>
    <row r="79" spans="1:20" x14ac:dyDescent="0.25">
      <c r="A79" s="6" t="str">
        <f t="shared" si="4"/>
        <v>68407700</v>
      </c>
      <c r="B79" s="6" t="s">
        <v>63</v>
      </c>
      <c r="C79" s="6">
        <v>21230</v>
      </c>
      <c r="D79" s="6" t="s">
        <v>280</v>
      </c>
      <c r="E79" s="6">
        <v>2782</v>
      </c>
      <c r="F79" s="6">
        <v>47438.029031974002</v>
      </c>
      <c r="G79" s="6">
        <v>44880.995500211</v>
      </c>
      <c r="H79" s="6">
        <v>0</v>
      </c>
      <c r="I79" s="6">
        <v>0</v>
      </c>
      <c r="J79" s="6">
        <v>0</v>
      </c>
      <c r="K79" s="6">
        <v>64.753</v>
      </c>
      <c r="L79" s="6">
        <v>15</v>
      </c>
      <c r="M79" s="6">
        <v>9008.25</v>
      </c>
      <c r="N79" s="6">
        <v>10282.799999999999</v>
      </c>
      <c r="O79" s="6">
        <v>140</v>
      </c>
      <c r="P79" s="6">
        <v>125</v>
      </c>
      <c r="Q79" s="6">
        <v>2897.2069962738001</v>
      </c>
      <c r="R79" s="6">
        <v>3022.2069962738001</v>
      </c>
      <c r="S79" s="6">
        <v>17226.099999999999</v>
      </c>
      <c r="T79" s="9">
        <f t="shared" si="3"/>
        <v>75412.102496484789</v>
      </c>
    </row>
    <row r="80" spans="1:20" x14ac:dyDescent="0.25">
      <c r="A80" s="6" t="str">
        <f t="shared" si="4"/>
        <v>68407700</v>
      </c>
      <c r="B80" s="6" t="s">
        <v>63</v>
      </c>
      <c r="C80" s="6">
        <v>21240</v>
      </c>
      <c r="D80" s="6" t="s">
        <v>281</v>
      </c>
      <c r="E80" s="6">
        <v>229</v>
      </c>
      <c r="F80" s="6">
        <v>2875.8611623250999</v>
      </c>
      <c r="G80" s="6">
        <v>2135.2884527574001</v>
      </c>
      <c r="H80" s="6">
        <v>0</v>
      </c>
      <c r="I80" s="6">
        <v>0</v>
      </c>
      <c r="J80" s="6">
        <v>0</v>
      </c>
      <c r="K80" s="6">
        <v>64.753</v>
      </c>
      <c r="L80" s="6">
        <v>0</v>
      </c>
      <c r="M80" s="6">
        <v>287.65499999999997</v>
      </c>
      <c r="N80" s="6">
        <v>258.88900000000001</v>
      </c>
      <c r="O80" s="6">
        <v>0</v>
      </c>
      <c r="P80" s="6">
        <v>0</v>
      </c>
      <c r="Q80" s="6">
        <v>56.178812268000001</v>
      </c>
      <c r="R80" s="6">
        <v>56.178812268000001</v>
      </c>
      <c r="S80" s="6">
        <v>1045.1199999999999</v>
      </c>
      <c r="T80" s="9">
        <f t="shared" si="3"/>
        <v>3495.4762650254002</v>
      </c>
    </row>
    <row r="81" spans="1:20" x14ac:dyDescent="0.25">
      <c r="A81" s="6" t="str">
        <f t="shared" si="4"/>
        <v>68407700</v>
      </c>
      <c r="B81" s="6" t="s">
        <v>63</v>
      </c>
      <c r="C81" s="6">
        <v>21260</v>
      </c>
      <c r="D81" s="6" t="s">
        <v>282</v>
      </c>
      <c r="E81" s="6">
        <v>648</v>
      </c>
      <c r="F81" s="6">
        <v>4404.0439698208002</v>
      </c>
      <c r="G81" s="6">
        <v>3862.5004759637</v>
      </c>
      <c r="H81" s="6">
        <v>0</v>
      </c>
      <c r="I81" s="6">
        <v>0</v>
      </c>
      <c r="J81" s="6">
        <v>0</v>
      </c>
      <c r="K81" s="6">
        <v>64.753</v>
      </c>
      <c r="L81" s="6">
        <v>1</v>
      </c>
      <c r="M81" s="6">
        <v>608.86400000000003</v>
      </c>
      <c r="N81" s="6">
        <v>555.40800000000002</v>
      </c>
      <c r="O81" s="6">
        <v>0</v>
      </c>
      <c r="P81" s="6">
        <v>0</v>
      </c>
      <c r="Q81" s="6">
        <v>557.84108563359996</v>
      </c>
      <c r="R81" s="6">
        <v>557.84108563359996</v>
      </c>
      <c r="S81" s="6">
        <v>2361.75</v>
      </c>
      <c r="T81" s="9">
        <f t="shared" si="3"/>
        <v>7337.4995615973003</v>
      </c>
    </row>
    <row r="82" spans="1:20" x14ac:dyDescent="0.25">
      <c r="A82" s="6" t="str">
        <f t="shared" si="4"/>
        <v>68407700</v>
      </c>
      <c r="B82" s="6" t="s">
        <v>63</v>
      </c>
      <c r="C82" s="6">
        <v>21340</v>
      </c>
      <c r="D82" s="6" t="s">
        <v>283</v>
      </c>
      <c r="E82" s="6">
        <v>1926</v>
      </c>
      <c r="F82" s="6">
        <v>25953.940776044001</v>
      </c>
      <c r="G82" s="6">
        <v>30671.676892347001</v>
      </c>
      <c r="H82" s="6">
        <v>0</v>
      </c>
      <c r="I82" s="6">
        <v>0</v>
      </c>
      <c r="J82" s="6">
        <v>0</v>
      </c>
      <c r="K82" s="6">
        <v>64.753</v>
      </c>
      <c r="L82" s="6">
        <v>8</v>
      </c>
      <c r="M82" s="6">
        <v>4628.87</v>
      </c>
      <c r="N82" s="6">
        <v>4708.03</v>
      </c>
      <c r="O82" s="6">
        <v>10</v>
      </c>
      <c r="P82" s="6">
        <v>10</v>
      </c>
      <c r="Q82" s="6">
        <v>1053.8588915122</v>
      </c>
      <c r="R82" s="6">
        <v>1063.8588915122</v>
      </c>
      <c r="S82" s="6">
        <v>3869.08</v>
      </c>
      <c r="T82" s="9">
        <f t="shared" si="3"/>
        <v>40312.645783859203</v>
      </c>
    </row>
    <row r="83" spans="1:20" x14ac:dyDescent="0.25">
      <c r="A83" s="6" t="str">
        <f t="shared" si="4"/>
        <v>68407700</v>
      </c>
      <c r="B83" s="6" t="s">
        <v>63</v>
      </c>
      <c r="C83" s="6">
        <v>21450</v>
      </c>
      <c r="D83" s="6" t="s">
        <v>284</v>
      </c>
      <c r="E83" s="6">
        <v>260</v>
      </c>
      <c r="F83" s="6">
        <v>2963.1258182178999</v>
      </c>
      <c r="G83" s="6">
        <v>2298.4792226333002</v>
      </c>
      <c r="H83" s="6">
        <v>0</v>
      </c>
      <c r="I83" s="6">
        <v>0</v>
      </c>
      <c r="J83" s="6">
        <v>0</v>
      </c>
      <c r="K83" s="6">
        <v>64.753</v>
      </c>
      <c r="L83" s="6">
        <v>0</v>
      </c>
      <c r="M83" s="6">
        <v>285.60899999999998</v>
      </c>
      <c r="N83" s="6">
        <v>257.048</v>
      </c>
      <c r="O83" s="6">
        <v>0</v>
      </c>
      <c r="P83" s="6">
        <v>0</v>
      </c>
      <c r="Q83" s="6">
        <v>261.81330711880003</v>
      </c>
      <c r="R83" s="6">
        <v>261.81330711880003</v>
      </c>
      <c r="S83" s="6">
        <v>583.04600000000005</v>
      </c>
      <c r="T83" s="9">
        <f t="shared" si="3"/>
        <v>3400.3865297520997</v>
      </c>
    </row>
    <row r="84" spans="1:20" x14ac:dyDescent="0.25">
      <c r="A84" s="6" t="str">
        <f t="shared" si="4"/>
        <v>68407700</v>
      </c>
      <c r="B84" s="6" t="s">
        <v>63</v>
      </c>
      <c r="C84" s="6">
        <v>21460</v>
      </c>
      <c r="D84" s="6" t="s">
        <v>285</v>
      </c>
      <c r="E84" s="6">
        <v>322</v>
      </c>
      <c r="F84" s="6">
        <v>3535.7987713318998</v>
      </c>
      <c r="G84" s="6">
        <v>3553.097567924</v>
      </c>
      <c r="H84" s="6">
        <v>0</v>
      </c>
      <c r="I84" s="6">
        <v>0</v>
      </c>
      <c r="J84" s="6">
        <v>0</v>
      </c>
      <c r="K84" s="6">
        <v>64.753</v>
      </c>
      <c r="L84" s="6">
        <v>2</v>
      </c>
      <c r="M84" s="6">
        <v>581.87300000000005</v>
      </c>
      <c r="N84" s="6">
        <v>651.28300000000002</v>
      </c>
      <c r="O84" s="6">
        <v>0</v>
      </c>
      <c r="P84" s="6">
        <v>0</v>
      </c>
      <c r="Q84" s="6">
        <v>372.33034443100001</v>
      </c>
      <c r="R84" s="6">
        <v>372.33034443100001</v>
      </c>
      <c r="S84" s="6">
        <v>1860.13</v>
      </c>
      <c r="T84" s="9">
        <f t="shared" si="3"/>
        <v>6436.8409123550009</v>
      </c>
    </row>
    <row r="85" spans="1:20" x14ac:dyDescent="0.25">
      <c r="A85" s="6" t="str">
        <f t="shared" si="4"/>
        <v>68407700</v>
      </c>
      <c r="B85" s="6" t="s">
        <v>63</v>
      </c>
      <c r="C85" s="6">
        <v>21610</v>
      </c>
      <c r="D85" s="6" t="s">
        <v>286</v>
      </c>
      <c r="E85" s="6">
        <v>169</v>
      </c>
      <c r="F85" s="6">
        <v>2502.9674748737998</v>
      </c>
      <c r="G85" s="6">
        <v>1682.2288307381</v>
      </c>
      <c r="H85" s="6">
        <v>0</v>
      </c>
      <c r="I85" s="6">
        <v>0</v>
      </c>
      <c r="J85" s="6">
        <v>0</v>
      </c>
      <c r="K85" s="6">
        <v>64.753</v>
      </c>
      <c r="L85" s="6">
        <v>0</v>
      </c>
      <c r="M85" s="6">
        <v>493.154</v>
      </c>
      <c r="N85" s="6">
        <v>443.839</v>
      </c>
      <c r="O85" s="6">
        <v>30</v>
      </c>
      <c r="P85" s="6">
        <v>10</v>
      </c>
      <c r="Q85" s="6">
        <v>478.77763888129999</v>
      </c>
      <c r="R85" s="6">
        <v>488.77763888129999</v>
      </c>
      <c r="S85" s="6">
        <v>2537.3200000000002</v>
      </c>
      <c r="T85" s="9">
        <f t="shared" si="3"/>
        <v>5152.1654696194</v>
      </c>
    </row>
    <row r="86" spans="1:20" x14ac:dyDescent="0.25">
      <c r="A86" s="6" t="str">
        <f t="shared" si="4"/>
        <v>68407700</v>
      </c>
      <c r="B86" s="6" t="s">
        <v>63</v>
      </c>
      <c r="C86" s="6">
        <v>21620</v>
      </c>
      <c r="D86" s="6" t="s">
        <v>287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64.753</v>
      </c>
      <c r="L86" s="6">
        <v>0</v>
      </c>
      <c r="M86" s="6">
        <v>4.7149999999999999</v>
      </c>
      <c r="N86" s="6">
        <v>4.2435</v>
      </c>
      <c r="O86" s="6">
        <v>0</v>
      </c>
      <c r="P86" s="6">
        <v>0</v>
      </c>
      <c r="Q86" s="6">
        <v>13.7021493337</v>
      </c>
      <c r="R86" s="6">
        <v>13.7021493337</v>
      </c>
      <c r="S86" s="6">
        <v>77.718000000000004</v>
      </c>
      <c r="T86" s="9">
        <f t="shared" si="3"/>
        <v>95.663649333700008</v>
      </c>
    </row>
    <row r="87" spans="1:20" x14ac:dyDescent="0.25">
      <c r="A87" s="6" t="str">
        <f t="shared" si="4"/>
        <v>68407700</v>
      </c>
      <c r="B87" s="6" t="s">
        <v>63</v>
      </c>
      <c r="C87" s="6">
        <v>21630</v>
      </c>
      <c r="D87" s="6" t="s">
        <v>288</v>
      </c>
      <c r="E87" s="6">
        <v>12</v>
      </c>
      <c r="F87" s="6">
        <v>86.507140905401997</v>
      </c>
      <c r="G87" s="6">
        <v>39.673433804094003</v>
      </c>
      <c r="H87" s="6">
        <v>0</v>
      </c>
      <c r="I87" s="6">
        <v>0</v>
      </c>
      <c r="J87" s="6">
        <v>0</v>
      </c>
      <c r="K87" s="6">
        <v>64.753</v>
      </c>
      <c r="L87" s="6">
        <v>0</v>
      </c>
      <c r="M87" s="6">
        <v>20.242000000000001</v>
      </c>
      <c r="N87" s="6">
        <v>18.2178</v>
      </c>
      <c r="O87" s="6">
        <v>0</v>
      </c>
      <c r="P87" s="6"/>
      <c r="Q87" s="6">
        <v>0</v>
      </c>
      <c r="R87" s="6">
        <v>0</v>
      </c>
      <c r="S87" s="6">
        <v>0</v>
      </c>
      <c r="T87" s="9">
        <f t="shared" si="3"/>
        <v>57.891233804094</v>
      </c>
    </row>
    <row r="88" spans="1:20" x14ac:dyDescent="0.25">
      <c r="A88" s="6" t="str">
        <f t="shared" si="4"/>
        <v>68407700</v>
      </c>
      <c r="B88" s="6" t="s">
        <v>63</v>
      </c>
      <c r="C88" s="6">
        <v>21640</v>
      </c>
      <c r="D88" s="6" t="s">
        <v>289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/>
      <c r="Q88" s="6">
        <v>0</v>
      </c>
      <c r="R88" s="6">
        <v>0</v>
      </c>
      <c r="S88" s="6">
        <v>0</v>
      </c>
      <c r="T88" s="9">
        <f t="shared" si="3"/>
        <v>0</v>
      </c>
    </row>
    <row r="89" spans="1:20" x14ac:dyDescent="0.25">
      <c r="A89" s="6" t="str">
        <f t="shared" si="4"/>
        <v>68407700</v>
      </c>
      <c r="B89" s="6" t="s">
        <v>63</v>
      </c>
      <c r="C89" s="6">
        <v>21650</v>
      </c>
      <c r="D89" s="6" t="s">
        <v>290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/>
      <c r="Q89" s="6">
        <v>0</v>
      </c>
      <c r="R89" s="6">
        <v>0</v>
      </c>
      <c r="S89" s="6">
        <v>0</v>
      </c>
      <c r="T89" s="9">
        <f t="shared" si="3"/>
        <v>0</v>
      </c>
    </row>
    <row r="90" spans="1:20" x14ac:dyDescent="0.25">
      <c r="A90" s="6" t="str">
        <f t="shared" si="4"/>
        <v>68407700</v>
      </c>
      <c r="B90" s="6" t="s">
        <v>63</v>
      </c>
      <c r="C90" s="6">
        <v>21660</v>
      </c>
      <c r="D90" s="6" t="s">
        <v>291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64.753</v>
      </c>
      <c r="L90" s="6">
        <v>0</v>
      </c>
      <c r="M90" s="6">
        <v>0.245</v>
      </c>
      <c r="N90" s="6">
        <v>0.2205</v>
      </c>
      <c r="O90" s="6">
        <v>0</v>
      </c>
      <c r="P90" s="6"/>
      <c r="Q90" s="6">
        <v>0</v>
      </c>
      <c r="R90" s="6">
        <v>0</v>
      </c>
      <c r="S90" s="6">
        <v>0</v>
      </c>
      <c r="T90" s="9">
        <f t="shared" si="3"/>
        <v>0.2205</v>
      </c>
    </row>
    <row r="91" spans="1:20" x14ac:dyDescent="0.25">
      <c r="A91" s="6" t="str">
        <f t="shared" si="4"/>
        <v>68407700</v>
      </c>
      <c r="B91" s="6" t="s">
        <v>63</v>
      </c>
      <c r="C91" s="6">
        <v>21670</v>
      </c>
      <c r="D91" s="6" t="s">
        <v>292</v>
      </c>
      <c r="E91" s="6">
        <v>569</v>
      </c>
      <c r="F91" s="6">
        <v>6105.4819738891001</v>
      </c>
      <c r="G91" s="6">
        <v>7960.3894444705002</v>
      </c>
      <c r="H91" s="6">
        <v>0</v>
      </c>
      <c r="I91" s="6">
        <v>0</v>
      </c>
      <c r="J91" s="6">
        <v>0</v>
      </c>
      <c r="K91" s="6">
        <v>64.753</v>
      </c>
      <c r="L91" s="6">
        <v>2</v>
      </c>
      <c r="M91" s="6">
        <v>873.12800000000004</v>
      </c>
      <c r="N91" s="6">
        <v>918.31700000000001</v>
      </c>
      <c r="O91" s="6">
        <v>0</v>
      </c>
      <c r="P91" s="6">
        <v>0</v>
      </c>
      <c r="Q91" s="6">
        <v>431.8426646712</v>
      </c>
      <c r="R91" s="6">
        <v>431.8426646712</v>
      </c>
      <c r="S91" s="6">
        <v>1410.06</v>
      </c>
      <c r="T91" s="9">
        <f t="shared" si="3"/>
        <v>10720.609109141698</v>
      </c>
    </row>
    <row r="92" spans="1:20" x14ac:dyDescent="0.25">
      <c r="A92" s="6" t="str">
        <f t="shared" si="4"/>
        <v>68407700</v>
      </c>
      <c r="B92" s="6" t="s">
        <v>63</v>
      </c>
      <c r="C92" s="6">
        <v>21680</v>
      </c>
      <c r="D92" s="6" t="s">
        <v>293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64.753</v>
      </c>
      <c r="L92" s="6">
        <v>0</v>
      </c>
      <c r="M92" s="6">
        <v>4.37</v>
      </c>
      <c r="N92" s="6">
        <v>3.9329999999999998</v>
      </c>
      <c r="O92" s="6">
        <v>0</v>
      </c>
      <c r="P92" s="6"/>
      <c r="Q92" s="6">
        <v>0</v>
      </c>
      <c r="R92" s="6">
        <v>0</v>
      </c>
      <c r="S92" s="6">
        <v>0</v>
      </c>
      <c r="T92" s="9">
        <f t="shared" si="3"/>
        <v>3.9329999999999998</v>
      </c>
    </row>
    <row r="93" spans="1:20" x14ac:dyDescent="0.25">
      <c r="A93" s="6" t="str">
        <f t="shared" si="4"/>
        <v>68407700</v>
      </c>
      <c r="B93" s="6" t="s">
        <v>63</v>
      </c>
      <c r="C93" s="6">
        <v>21690</v>
      </c>
      <c r="D93" s="6" t="s">
        <v>294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/>
      <c r="Q93" s="6">
        <v>0</v>
      </c>
      <c r="R93" s="6">
        <v>0</v>
      </c>
      <c r="S93" s="6">
        <v>0</v>
      </c>
      <c r="T93" s="9">
        <f t="shared" si="3"/>
        <v>0</v>
      </c>
    </row>
    <row r="94" spans="1:20" x14ac:dyDescent="0.25">
      <c r="A94" s="6" t="str">
        <f t="shared" si="4"/>
        <v>68407700</v>
      </c>
      <c r="B94" s="6" t="s">
        <v>63</v>
      </c>
      <c r="C94" s="6">
        <v>21700</v>
      </c>
      <c r="D94" s="6" t="s">
        <v>295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/>
      <c r="Q94" s="6">
        <v>0</v>
      </c>
      <c r="R94" s="6">
        <v>0</v>
      </c>
      <c r="S94" s="6">
        <v>0</v>
      </c>
      <c r="T94" s="9">
        <f t="shared" si="3"/>
        <v>0</v>
      </c>
    </row>
    <row r="95" spans="1:20" x14ac:dyDescent="0.25">
      <c r="A95" s="6" t="str">
        <f t="shared" si="4"/>
        <v>68407700</v>
      </c>
      <c r="B95" s="6" t="s">
        <v>63</v>
      </c>
      <c r="C95" s="6">
        <v>21710</v>
      </c>
      <c r="D95" s="6" t="s">
        <v>296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64.753</v>
      </c>
      <c r="L95" s="6">
        <v>0</v>
      </c>
      <c r="M95" s="6">
        <v>0.58199999999999996</v>
      </c>
      <c r="N95" s="6">
        <v>0.52380000000000004</v>
      </c>
      <c r="O95" s="6">
        <v>0</v>
      </c>
      <c r="P95" s="6"/>
      <c r="Q95" s="6">
        <v>0</v>
      </c>
      <c r="R95" s="6">
        <v>0</v>
      </c>
      <c r="S95" s="6">
        <v>99.308000000000007</v>
      </c>
      <c r="T95" s="9">
        <f t="shared" si="3"/>
        <v>99.831800000000001</v>
      </c>
    </row>
    <row r="96" spans="1:20" x14ac:dyDescent="0.25">
      <c r="A96" s="6" t="str">
        <f t="shared" si="4"/>
        <v>68407700</v>
      </c>
      <c r="B96" s="6" t="s">
        <v>63</v>
      </c>
      <c r="C96" s="6">
        <v>21720</v>
      </c>
      <c r="D96" s="6" t="s">
        <v>297</v>
      </c>
      <c r="E96" s="6">
        <v>32</v>
      </c>
      <c r="F96" s="6">
        <v>294.46249604291</v>
      </c>
      <c r="G96" s="6">
        <v>187.23801763255</v>
      </c>
      <c r="H96" s="6">
        <v>0</v>
      </c>
      <c r="I96" s="6">
        <v>0</v>
      </c>
      <c r="J96" s="6">
        <v>0</v>
      </c>
      <c r="K96" s="6">
        <v>64.753</v>
      </c>
      <c r="L96" s="6">
        <v>0</v>
      </c>
      <c r="M96" s="6">
        <v>0.311</v>
      </c>
      <c r="N96" s="6">
        <v>0.27989999999999998</v>
      </c>
      <c r="O96" s="6">
        <v>10</v>
      </c>
      <c r="P96" s="6">
        <v>0</v>
      </c>
      <c r="Q96" s="6">
        <v>63.336651472200003</v>
      </c>
      <c r="R96" s="6">
        <v>63.336651472200003</v>
      </c>
      <c r="S96" s="6">
        <v>8.3699999999999992</v>
      </c>
      <c r="T96" s="9">
        <f t="shared" si="3"/>
        <v>259.22456910475</v>
      </c>
    </row>
    <row r="97" spans="1:20" x14ac:dyDescent="0.25">
      <c r="A97" s="6" t="str">
        <f t="shared" si="4"/>
        <v>68407700</v>
      </c>
      <c r="B97" s="6" t="s">
        <v>63</v>
      </c>
      <c r="C97" s="6">
        <v>21730</v>
      </c>
      <c r="D97" s="6" t="s">
        <v>298</v>
      </c>
      <c r="E97" s="6">
        <v>9</v>
      </c>
      <c r="F97" s="6">
        <v>60.780590873016003</v>
      </c>
      <c r="G97" s="6">
        <v>38.204188807492997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109.4944888544</v>
      </c>
      <c r="R97" s="6">
        <v>109.4944888544</v>
      </c>
      <c r="S97" s="6">
        <v>0</v>
      </c>
      <c r="T97" s="9">
        <f t="shared" si="3"/>
        <v>147.69867766189299</v>
      </c>
    </row>
    <row r="98" spans="1:20" x14ac:dyDescent="0.25">
      <c r="A98" s="6" t="str">
        <f t="shared" si="4"/>
        <v>68407700</v>
      </c>
      <c r="B98" s="6" t="s">
        <v>63</v>
      </c>
      <c r="C98" s="6">
        <v>21810</v>
      </c>
      <c r="D98" s="6" t="s">
        <v>299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/>
      <c r="Q98" s="6">
        <v>0</v>
      </c>
      <c r="R98" s="6">
        <v>0</v>
      </c>
      <c r="S98" s="6">
        <v>0</v>
      </c>
      <c r="T98" s="9">
        <f t="shared" si="3"/>
        <v>0</v>
      </c>
    </row>
    <row r="99" spans="1:20" x14ac:dyDescent="0.25">
      <c r="A99" s="6" t="str">
        <f t="shared" si="4"/>
        <v>68407700</v>
      </c>
      <c r="B99" s="6" t="s">
        <v>63</v>
      </c>
      <c r="C99" s="6">
        <v>21830</v>
      </c>
      <c r="D99" s="6" t="s">
        <v>300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/>
      <c r="Q99" s="6">
        <v>0</v>
      </c>
      <c r="R99" s="6">
        <v>0</v>
      </c>
      <c r="S99" s="6">
        <v>0</v>
      </c>
      <c r="T99" s="9">
        <f t="shared" si="3"/>
        <v>0</v>
      </c>
    </row>
    <row r="100" spans="1:20" x14ac:dyDescent="0.25">
      <c r="A100" s="6" t="str">
        <f>"00177016"</f>
        <v>00177016</v>
      </c>
      <c r="B100" s="6" t="s">
        <v>64</v>
      </c>
      <c r="C100" s="6"/>
      <c r="D100" s="6"/>
      <c r="E100" s="6">
        <v>166</v>
      </c>
      <c r="F100" s="6">
        <v>2533.4526933456</v>
      </c>
      <c r="G100" s="6">
        <v>2877.9682335752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527.69635709950001</v>
      </c>
      <c r="R100" s="6">
        <v>527.69635709950001</v>
      </c>
      <c r="S100" s="6">
        <v>1536.27</v>
      </c>
      <c r="T100" s="9">
        <f t="shared" si="3"/>
        <v>4941.9345906747003</v>
      </c>
    </row>
    <row r="101" spans="1:20" x14ac:dyDescent="0.25">
      <c r="A101" s="6" t="str">
        <f>"00023761"</f>
        <v>00023761</v>
      </c>
      <c r="B101" s="6" t="s">
        <v>65</v>
      </c>
      <c r="C101" s="6"/>
      <c r="D101" s="6"/>
      <c r="E101" s="6">
        <v>243</v>
      </c>
      <c r="F101" s="6">
        <v>2952.4831968403</v>
      </c>
      <c r="G101" s="6">
        <v>2697.977413736</v>
      </c>
      <c r="H101" s="6">
        <v>0</v>
      </c>
      <c r="I101" s="6">
        <v>0</v>
      </c>
      <c r="J101" s="6">
        <v>0</v>
      </c>
      <c r="K101" s="6">
        <v>1</v>
      </c>
      <c r="L101" s="6">
        <v>0</v>
      </c>
      <c r="M101" s="6">
        <v>368.18299999999999</v>
      </c>
      <c r="N101" s="6">
        <v>331.36500000000001</v>
      </c>
      <c r="O101" s="6">
        <v>0</v>
      </c>
      <c r="P101" s="6">
        <v>0</v>
      </c>
      <c r="Q101" s="6">
        <v>529.39378753929998</v>
      </c>
      <c r="R101" s="6">
        <v>529.39378753929998</v>
      </c>
      <c r="S101" s="6">
        <v>1134.28</v>
      </c>
      <c r="T101" s="9">
        <f t="shared" si="3"/>
        <v>4693.0162012752999</v>
      </c>
    </row>
    <row r="102" spans="1:20" x14ac:dyDescent="0.25">
      <c r="A102" s="6" t="str">
        <f>"25173154"</f>
        <v>25173154</v>
      </c>
      <c r="B102" s="6" t="s">
        <v>66</v>
      </c>
      <c r="C102" s="6"/>
      <c r="D102" s="6"/>
      <c r="E102" s="6">
        <v>73</v>
      </c>
      <c r="F102" s="6">
        <v>664.31051727932004</v>
      </c>
      <c r="G102" s="6">
        <v>680.48355405878999</v>
      </c>
      <c r="H102" s="6">
        <v>0</v>
      </c>
      <c r="I102" s="6">
        <v>0</v>
      </c>
      <c r="J102" s="6">
        <v>0</v>
      </c>
      <c r="K102" s="6">
        <v>1.3666700000000001</v>
      </c>
      <c r="L102" s="6">
        <v>1</v>
      </c>
      <c r="M102" s="6">
        <v>136.61500000000001</v>
      </c>
      <c r="N102" s="6">
        <v>134.864</v>
      </c>
      <c r="O102" s="6">
        <v>0</v>
      </c>
      <c r="P102" s="6">
        <v>0</v>
      </c>
      <c r="Q102" s="6">
        <v>145.99946879570001</v>
      </c>
      <c r="R102" s="6">
        <v>145.99946879570001</v>
      </c>
      <c r="S102" s="6">
        <v>240.10499999999999</v>
      </c>
      <c r="T102" s="9">
        <f t="shared" si="3"/>
        <v>1201.45202285449</v>
      </c>
    </row>
    <row r="103" spans="1:20" x14ac:dyDescent="0.25">
      <c r="A103" s="6" t="str">
        <f>"68378076"</f>
        <v>68378076</v>
      </c>
      <c r="B103" s="6" t="s">
        <v>67</v>
      </c>
      <c r="C103" s="6"/>
      <c r="D103" s="6"/>
      <c r="E103" s="6">
        <v>277</v>
      </c>
      <c r="F103" s="6">
        <v>3626.0942471274002</v>
      </c>
      <c r="G103" s="6">
        <v>3373.9802945447</v>
      </c>
      <c r="H103" s="6">
        <v>0</v>
      </c>
      <c r="I103" s="6">
        <v>0</v>
      </c>
      <c r="J103" s="6">
        <v>0</v>
      </c>
      <c r="K103" s="6">
        <v>3.41404</v>
      </c>
      <c r="L103" s="6">
        <v>0</v>
      </c>
      <c r="M103" s="6">
        <v>401.29700000000003</v>
      </c>
      <c r="N103" s="6">
        <v>361.16699999999997</v>
      </c>
      <c r="O103" s="6">
        <v>0</v>
      </c>
      <c r="P103" s="6">
        <v>0</v>
      </c>
      <c r="Q103" s="6">
        <v>3.3335079722000001</v>
      </c>
      <c r="R103" s="6">
        <v>3.3335079722000001</v>
      </c>
      <c r="S103" s="6">
        <v>36.198999999999998</v>
      </c>
      <c r="T103" s="9">
        <f t="shared" si="3"/>
        <v>3774.6798025169001</v>
      </c>
    </row>
    <row r="104" spans="1:20" x14ac:dyDescent="0.25">
      <c r="A104" s="6" t="str">
        <f>"65269705"</f>
        <v>65269705</v>
      </c>
      <c r="B104" s="6" t="s">
        <v>68</v>
      </c>
      <c r="C104" s="6"/>
      <c r="D104" s="6" t="s">
        <v>246</v>
      </c>
      <c r="E104" s="6">
        <v>910</v>
      </c>
      <c r="F104" s="6">
        <v>8053.0788260797999</v>
      </c>
      <c r="G104" s="6">
        <v>7497.6071611072002</v>
      </c>
      <c r="H104" s="6">
        <v>0</v>
      </c>
      <c r="I104" s="6">
        <v>0</v>
      </c>
      <c r="J104" s="6">
        <v>0</v>
      </c>
      <c r="K104" s="6">
        <v>1.4530000000000001</v>
      </c>
      <c r="L104" s="6">
        <v>1</v>
      </c>
      <c r="M104" s="6">
        <v>1124.74</v>
      </c>
      <c r="N104" s="6">
        <v>1175.05</v>
      </c>
      <c r="O104" s="6">
        <v>0</v>
      </c>
      <c r="P104" s="6">
        <v>0</v>
      </c>
      <c r="Q104" s="6">
        <v>904.26005214539998</v>
      </c>
      <c r="R104" s="6">
        <v>904.26005214539998</v>
      </c>
      <c r="S104" s="6">
        <v>1449.66</v>
      </c>
      <c r="T104" s="9">
        <f t="shared" si="3"/>
        <v>11026.5772132526</v>
      </c>
    </row>
    <row r="105" spans="1:20" x14ac:dyDescent="0.25">
      <c r="A105" s="6" t="str">
        <f>"65269705"</f>
        <v>65269705</v>
      </c>
      <c r="B105" s="6" t="s">
        <v>68</v>
      </c>
      <c r="C105" s="6" t="s">
        <v>301</v>
      </c>
      <c r="D105" s="6" t="s">
        <v>302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/>
      <c r="Q105" s="6">
        <v>0</v>
      </c>
      <c r="R105" s="6">
        <v>0</v>
      </c>
      <c r="S105" s="6">
        <v>0</v>
      </c>
      <c r="T105" s="9">
        <f t="shared" si="3"/>
        <v>0</v>
      </c>
    </row>
    <row r="106" spans="1:20" x14ac:dyDescent="0.25">
      <c r="A106" s="6" t="str">
        <f>"00179906"</f>
        <v>00179906</v>
      </c>
      <c r="B106" s="6" t="s">
        <v>69</v>
      </c>
      <c r="C106" s="6"/>
      <c r="D106" s="6"/>
      <c r="E106" s="6">
        <v>1435</v>
      </c>
      <c r="F106" s="6">
        <v>11927.927078559</v>
      </c>
      <c r="G106" s="6">
        <v>11131.530658395001</v>
      </c>
      <c r="H106" s="6">
        <v>0</v>
      </c>
      <c r="I106" s="6">
        <v>0</v>
      </c>
      <c r="J106" s="6">
        <v>0</v>
      </c>
      <c r="K106" s="6">
        <v>0.74126999999999998</v>
      </c>
      <c r="L106" s="6">
        <v>0</v>
      </c>
      <c r="M106" s="6">
        <v>1241.96</v>
      </c>
      <c r="N106" s="6">
        <v>1117.76</v>
      </c>
      <c r="O106" s="6">
        <v>0</v>
      </c>
      <c r="P106" s="6">
        <v>0</v>
      </c>
      <c r="Q106" s="6">
        <v>1270.6800664907</v>
      </c>
      <c r="R106" s="6">
        <v>1270.6800664907</v>
      </c>
      <c r="S106" s="6">
        <v>1377.96</v>
      </c>
      <c r="T106" s="9">
        <f t="shared" si="3"/>
        <v>14897.9307248857</v>
      </c>
    </row>
    <row r="107" spans="1:20" x14ac:dyDescent="0.25">
      <c r="A107" s="6" t="str">
        <f>"00064173"</f>
        <v>00064173</v>
      </c>
      <c r="B107" s="6" t="s">
        <v>70</v>
      </c>
      <c r="C107" s="6"/>
      <c r="D107" s="6"/>
      <c r="E107" s="6">
        <v>431</v>
      </c>
      <c r="F107" s="6">
        <v>3159.7273980942</v>
      </c>
      <c r="G107" s="6">
        <v>2933.7388642945002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302.6129905825</v>
      </c>
      <c r="R107" s="6">
        <v>302.6129905825</v>
      </c>
      <c r="S107" s="6">
        <v>500.245</v>
      </c>
      <c r="T107" s="9">
        <f t="shared" si="3"/>
        <v>3736.5968548770002</v>
      </c>
    </row>
    <row r="108" spans="1:20" x14ac:dyDescent="0.25">
      <c r="A108" s="6" t="str">
        <f>"00098892"</f>
        <v>00098892</v>
      </c>
      <c r="B108" s="6" t="s">
        <v>71</v>
      </c>
      <c r="C108" s="6"/>
      <c r="D108" s="6"/>
      <c r="E108" s="6">
        <v>330</v>
      </c>
      <c r="F108" s="6">
        <v>2547.0688109836001</v>
      </c>
      <c r="G108" s="6">
        <v>2332.9701723179001</v>
      </c>
      <c r="H108" s="6">
        <v>0</v>
      </c>
      <c r="I108" s="6">
        <v>0</v>
      </c>
      <c r="J108" s="6">
        <v>0</v>
      </c>
      <c r="K108" s="6">
        <v>0.5</v>
      </c>
      <c r="L108" s="6">
        <v>0</v>
      </c>
      <c r="M108" s="6">
        <v>141.375</v>
      </c>
      <c r="N108" s="6">
        <v>127.238</v>
      </c>
      <c r="O108" s="6">
        <v>0</v>
      </c>
      <c r="P108" s="6">
        <v>0</v>
      </c>
      <c r="Q108" s="6">
        <v>566.73725721580001</v>
      </c>
      <c r="R108" s="6">
        <v>566.73725721580001</v>
      </c>
      <c r="S108" s="6">
        <v>1116.58</v>
      </c>
      <c r="T108" s="9">
        <f t="shared" si="3"/>
        <v>4143.5254295336999</v>
      </c>
    </row>
    <row r="109" spans="1:20" x14ac:dyDescent="0.25">
      <c r="A109" s="6" t="str">
        <f>"00843989"</f>
        <v>00843989</v>
      </c>
      <c r="B109" s="6" t="s">
        <v>72</v>
      </c>
      <c r="C109" s="6"/>
      <c r="D109" s="6"/>
      <c r="E109" s="6">
        <v>495</v>
      </c>
      <c r="F109" s="6">
        <v>5500.2304542580996</v>
      </c>
      <c r="G109" s="6">
        <v>5044.3500662068</v>
      </c>
      <c r="H109" s="6">
        <v>0</v>
      </c>
      <c r="I109" s="6">
        <v>0</v>
      </c>
      <c r="J109" s="6">
        <v>0</v>
      </c>
      <c r="K109" s="6">
        <v>1.68889</v>
      </c>
      <c r="L109" s="6">
        <v>0</v>
      </c>
      <c r="M109" s="6">
        <v>809.09699999999998</v>
      </c>
      <c r="N109" s="6">
        <v>728.18700000000001</v>
      </c>
      <c r="O109" s="6">
        <v>100</v>
      </c>
      <c r="P109" s="6">
        <v>100</v>
      </c>
      <c r="Q109" s="6">
        <v>171.09280794840001</v>
      </c>
      <c r="R109" s="6">
        <v>271.09280794839998</v>
      </c>
      <c r="S109" s="6">
        <v>563.28300000000002</v>
      </c>
      <c r="T109" s="9">
        <f t="shared" si="3"/>
        <v>6606.9128741552004</v>
      </c>
    </row>
    <row r="110" spans="1:20" x14ac:dyDescent="0.25">
      <c r="A110" s="6" t="str">
        <f>"00669806"</f>
        <v>00669806</v>
      </c>
      <c r="B110" s="6" t="s">
        <v>73</v>
      </c>
      <c r="C110" s="6"/>
      <c r="D110" s="6"/>
      <c r="E110" s="6">
        <v>601</v>
      </c>
      <c r="F110" s="6">
        <v>4830.2808818587</v>
      </c>
      <c r="G110" s="6">
        <v>4344.2085552141998</v>
      </c>
      <c r="H110" s="6">
        <v>0</v>
      </c>
      <c r="I110" s="6">
        <v>0</v>
      </c>
      <c r="J110" s="6">
        <v>0</v>
      </c>
      <c r="K110" s="6">
        <v>0.27222200000000002</v>
      </c>
      <c r="L110" s="6">
        <v>1</v>
      </c>
      <c r="M110" s="6">
        <v>697.40099999999995</v>
      </c>
      <c r="N110" s="6">
        <v>703.97299999999996</v>
      </c>
      <c r="O110" s="6">
        <v>0</v>
      </c>
      <c r="P110" s="6">
        <v>0</v>
      </c>
      <c r="Q110" s="6">
        <v>201.81016361889999</v>
      </c>
      <c r="R110" s="6">
        <v>201.81016361889999</v>
      </c>
      <c r="S110" s="6">
        <v>438.08800000000002</v>
      </c>
      <c r="T110" s="9">
        <f t="shared" si="3"/>
        <v>5688.0797188330998</v>
      </c>
    </row>
    <row r="111" spans="1:20" x14ac:dyDescent="0.25">
      <c r="A111" s="6" t="str">
        <f>"00159816"</f>
        <v>00159816</v>
      </c>
      <c r="B111" s="6" t="s">
        <v>74</v>
      </c>
      <c r="C111" s="6"/>
      <c r="D111" s="6"/>
      <c r="E111" s="6">
        <v>689</v>
      </c>
      <c r="F111" s="6">
        <v>7467.5647927583996</v>
      </c>
      <c r="G111" s="6">
        <v>6962.5008453747996</v>
      </c>
      <c r="H111" s="6">
        <v>0</v>
      </c>
      <c r="I111" s="6">
        <v>0</v>
      </c>
      <c r="J111" s="6">
        <v>0</v>
      </c>
      <c r="K111" s="6">
        <v>0.94142899999999996</v>
      </c>
      <c r="L111" s="6">
        <v>1</v>
      </c>
      <c r="M111" s="6">
        <v>430.065</v>
      </c>
      <c r="N111" s="6">
        <v>487.75400000000002</v>
      </c>
      <c r="O111" s="6">
        <v>0</v>
      </c>
      <c r="P111" s="6">
        <v>0</v>
      </c>
      <c r="Q111" s="6">
        <v>365.86783817819997</v>
      </c>
      <c r="R111" s="6">
        <v>365.86783817819997</v>
      </c>
      <c r="S111" s="6">
        <v>715.63699999999994</v>
      </c>
      <c r="T111" s="9">
        <f t="shared" si="3"/>
        <v>8531.7596835530003</v>
      </c>
    </row>
    <row r="112" spans="1:20" x14ac:dyDescent="0.25">
      <c r="A112" s="6" t="str">
        <f>"00064203"</f>
        <v>00064203</v>
      </c>
      <c r="B112" s="6" t="s">
        <v>75</v>
      </c>
      <c r="C112" s="6"/>
      <c r="D112" s="6"/>
      <c r="E112" s="6">
        <v>1802</v>
      </c>
      <c r="F112" s="6">
        <v>15174.346839341</v>
      </c>
      <c r="G112" s="6">
        <v>14162.080835895</v>
      </c>
      <c r="H112" s="6">
        <v>0</v>
      </c>
      <c r="I112" s="6">
        <v>0</v>
      </c>
      <c r="J112" s="6">
        <v>0</v>
      </c>
      <c r="K112" s="6">
        <v>6.6472100000000003</v>
      </c>
      <c r="L112" s="6">
        <v>3</v>
      </c>
      <c r="M112" s="6">
        <v>2333.94</v>
      </c>
      <c r="N112" s="6">
        <v>2284.62</v>
      </c>
      <c r="O112" s="6">
        <v>0</v>
      </c>
      <c r="P112" s="6">
        <v>0</v>
      </c>
      <c r="Q112" s="6">
        <v>777.91396470760003</v>
      </c>
      <c r="R112" s="6">
        <v>777.91396470760003</v>
      </c>
      <c r="S112" s="6">
        <v>1813.58</v>
      </c>
      <c r="T112" s="9">
        <f t="shared" si="3"/>
        <v>19038.1948006026</v>
      </c>
    </row>
    <row r="113" spans="1:20" x14ac:dyDescent="0.25">
      <c r="A113" s="6" t="str">
        <f>"67985955"</f>
        <v>67985955</v>
      </c>
      <c r="B113" s="6" t="s">
        <v>76</v>
      </c>
      <c r="C113" s="6"/>
      <c r="D113" s="6"/>
      <c r="E113" s="6">
        <v>1094</v>
      </c>
      <c r="F113" s="6">
        <v>15071.353798901</v>
      </c>
      <c r="G113" s="6">
        <v>12558.291884867</v>
      </c>
      <c r="H113" s="6">
        <v>1</v>
      </c>
      <c r="I113" s="6">
        <v>1</v>
      </c>
      <c r="J113" s="6">
        <v>2000</v>
      </c>
      <c r="K113" s="6">
        <v>5.8</v>
      </c>
      <c r="L113" s="6">
        <v>0</v>
      </c>
      <c r="M113" s="6">
        <v>1627.27</v>
      </c>
      <c r="N113" s="6">
        <v>1464.54</v>
      </c>
      <c r="O113" s="6">
        <v>0</v>
      </c>
      <c r="P113" s="6">
        <v>0</v>
      </c>
      <c r="Q113" s="6">
        <v>44.787622448900002</v>
      </c>
      <c r="R113" s="6">
        <v>44.787622448900002</v>
      </c>
      <c r="S113" s="6">
        <v>62.26</v>
      </c>
      <c r="T113" s="9">
        <f t="shared" si="3"/>
        <v>16129.879507315898</v>
      </c>
    </row>
    <row r="114" spans="1:20" x14ac:dyDescent="0.25">
      <c r="A114" s="6" t="str">
        <f>"68378271"</f>
        <v>68378271</v>
      </c>
      <c r="B114" s="6" t="s">
        <v>77</v>
      </c>
      <c r="C114" s="6"/>
      <c r="D114" s="6"/>
      <c r="E114" s="6">
        <v>3283</v>
      </c>
      <c r="F114" s="6">
        <v>67394.446116378007</v>
      </c>
      <c r="G114" s="6">
        <v>90687.314344921004</v>
      </c>
      <c r="H114" s="6">
        <v>2</v>
      </c>
      <c r="I114" s="6">
        <v>2</v>
      </c>
      <c r="J114" s="6">
        <v>4000</v>
      </c>
      <c r="K114" s="6">
        <v>31.981999999999999</v>
      </c>
      <c r="L114" s="6">
        <v>19</v>
      </c>
      <c r="M114" s="6">
        <v>13018.1</v>
      </c>
      <c r="N114" s="6">
        <v>13505.9</v>
      </c>
      <c r="O114" s="6">
        <v>80</v>
      </c>
      <c r="P114" s="6">
        <v>39</v>
      </c>
      <c r="Q114" s="6">
        <v>351.1226894175</v>
      </c>
      <c r="R114" s="6">
        <v>390.1226894175</v>
      </c>
      <c r="S114" s="6">
        <v>1392.71</v>
      </c>
      <c r="T114" s="9">
        <f t="shared" si="3"/>
        <v>109976.04703433851</v>
      </c>
    </row>
    <row r="115" spans="1:20" x14ac:dyDescent="0.25">
      <c r="A115" s="6" t="str">
        <f>"67985823"</f>
        <v>67985823</v>
      </c>
      <c r="B115" s="6" t="s">
        <v>78</v>
      </c>
      <c r="C115" s="6"/>
      <c r="D115" s="6"/>
      <c r="E115" s="6">
        <v>739</v>
      </c>
      <c r="F115" s="6">
        <v>18714.838475576002</v>
      </c>
      <c r="G115" s="6">
        <v>18743.144528612</v>
      </c>
      <c r="H115" s="6">
        <v>0</v>
      </c>
      <c r="I115" s="6">
        <v>0</v>
      </c>
      <c r="J115" s="6">
        <v>0</v>
      </c>
      <c r="K115" s="6">
        <v>12.595499999999999</v>
      </c>
      <c r="L115" s="6">
        <v>4</v>
      </c>
      <c r="M115" s="6">
        <v>2944.21</v>
      </c>
      <c r="N115" s="6">
        <v>3019.1</v>
      </c>
      <c r="O115" s="6">
        <v>340</v>
      </c>
      <c r="P115" s="6">
        <v>54.409999608993999</v>
      </c>
      <c r="Q115" s="6">
        <v>506.2637414253</v>
      </c>
      <c r="R115" s="6">
        <v>560.6737410344</v>
      </c>
      <c r="S115" s="6">
        <v>1997.2</v>
      </c>
      <c r="T115" s="9">
        <f t="shared" si="3"/>
        <v>24320.118269646398</v>
      </c>
    </row>
    <row r="116" spans="1:20" x14ac:dyDescent="0.25">
      <c r="A116" s="6" t="str">
        <f>"60702672"</f>
        <v>60702672</v>
      </c>
      <c r="B116" s="6" t="s">
        <v>79</v>
      </c>
      <c r="C116" s="6"/>
      <c r="D116" s="6"/>
      <c r="E116" s="6">
        <v>5</v>
      </c>
      <c r="F116" s="6">
        <v>72.287001848220996</v>
      </c>
      <c r="G116" s="6">
        <v>77.653000831604004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23.804928096099999</v>
      </c>
      <c r="R116" s="6">
        <v>23.804928096099999</v>
      </c>
      <c r="S116" s="6">
        <v>30.824000000000002</v>
      </c>
      <c r="T116" s="9">
        <f t="shared" si="3"/>
        <v>132.281928927704</v>
      </c>
    </row>
    <row r="117" spans="1:20" x14ac:dyDescent="0.25">
      <c r="A117" s="6" t="str">
        <f>"67985530"</f>
        <v>67985530</v>
      </c>
      <c r="B117" s="6" t="s">
        <v>80</v>
      </c>
      <c r="C117" s="6"/>
      <c r="D117" s="6"/>
      <c r="E117" s="6">
        <v>220</v>
      </c>
      <c r="F117" s="6">
        <v>5737.7218420788004</v>
      </c>
      <c r="G117" s="6">
        <v>5586.1421925883997</v>
      </c>
      <c r="H117" s="6">
        <v>0</v>
      </c>
      <c r="I117" s="6">
        <v>0</v>
      </c>
      <c r="J117" s="6">
        <v>0</v>
      </c>
      <c r="K117" s="6">
        <v>3.9841299999999999</v>
      </c>
      <c r="L117" s="6">
        <v>1</v>
      </c>
      <c r="M117" s="6">
        <v>755.15499999999997</v>
      </c>
      <c r="N117" s="6">
        <v>792.55799999999999</v>
      </c>
      <c r="O117" s="6">
        <v>0</v>
      </c>
      <c r="P117" s="6">
        <v>0</v>
      </c>
      <c r="Q117" s="6">
        <v>14.8269526372</v>
      </c>
      <c r="R117" s="6">
        <v>14.8269526372</v>
      </c>
      <c r="S117" s="6">
        <v>138.44300000000001</v>
      </c>
      <c r="T117" s="9">
        <f t="shared" si="3"/>
        <v>6531.9701452255995</v>
      </c>
    </row>
    <row r="118" spans="1:20" x14ac:dyDescent="0.25">
      <c r="A118" s="6" t="str">
        <f>"67985831"</f>
        <v>67985831</v>
      </c>
      <c r="B118" s="6" t="s">
        <v>81</v>
      </c>
      <c r="C118" s="6"/>
      <c r="D118" s="6"/>
      <c r="E118" s="6">
        <v>410</v>
      </c>
      <c r="F118" s="6">
        <v>6108.7215673571</v>
      </c>
      <c r="G118" s="6">
        <v>5962.5776264635997</v>
      </c>
      <c r="H118" s="6">
        <v>0</v>
      </c>
      <c r="I118" s="6">
        <v>0</v>
      </c>
      <c r="J118" s="6">
        <v>0</v>
      </c>
      <c r="K118" s="6">
        <v>3.05714</v>
      </c>
      <c r="L118" s="6">
        <v>0</v>
      </c>
      <c r="M118" s="6">
        <v>682.654</v>
      </c>
      <c r="N118" s="6">
        <v>614.38900000000001</v>
      </c>
      <c r="O118" s="6">
        <v>0</v>
      </c>
      <c r="P118" s="6">
        <v>0</v>
      </c>
      <c r="Q118" s="6">
        <v>14.0498158093</v>
      </c>
      <c r="R118" s="6">
        <v>14.0498158093</v>
      </c>
      <c r="S118" s="6">
        <v>242.161</v>
      </c>
      <c r="T118" s="9">
        <f t="shared" si="3"/>
        <v>6833.1774422728995</v>
      </c>
    </row>
    <row r="119" spans="1:20" x14ac:dyDescent="0.25">
      <c r="A119" s="6" t="str">
        <f>"67985963"</f>
        <v>67985963</v>
      </c>
      <c r="B119" s="6" t="s">
        <v>82</v>
      </c>
      <c r="C119" s="6"/>
      <c r="D119" s="6"/>
      <c r="E119" s="6">
        <v>598</v>
      </c>
      <c r="F119" s="6">
        <v>7361.0950455253997</v>
      </c>
      <c r="G119" s="6">
        <v>7003.1598884339001</v>
      </c>
      <c r="H119" s="6">
        <v>0</v>
      </c>
      <c r="I119" s="6">
        <v>0</v>
      </c>
      <c r="J119" s="6">
        <v>0</v>
      </c>
      <c r="K119" s="6">
        <v>3.39798</v>
      </c>
      <c r="L119" s="6">
        <v>0</v>
      </c>
      <c r="M119" s="6">
        <v>959.60599999999999</v>
      </c>
      <c r="N119" s="6">
        <v>863.64499999999998</v>
      </c>
      <c r="O119" s="6">
        <v>0</v>
      </c>
      <c r="P119" s="6">
        <v>0</v>
      </c>
      <c r="Q119" s="6">
        <v>115.9569951073</v>
      </c>
      <c r="R119" s="6">
        <v>115.9569951073</v>
      </c>
      <c r="S119" s="6">
        <v>237.61099999999999</v>
      </c>
      <c r="T119" s="9">
        <f t="shared" si="3"/>
        <v>8220.3728835412003</v>
      </c>
    </row>
    <row r="120" spans="1:20" x14ac:dyDescent="0.25">
      <c r="A120" s="6" t="str">
        <f>"00072486"</f>
        <v>00072486</v>
      </c>
      <c r="B120" s="6" t="s">
        <v>83</v>
      </c>
      <c r="C120" s="6"/>
      <c r="D120" s="6"/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55.013107026199997</v>
      </c>
      <c r="R120" s="6">
        <v>55.013107026199997</v>
      </c>
      <c r="S120" s="6">
        <v>88.774000000000001</v>
      </c>
      <c r="T120" s="9">
        <f t="shared" si="3"/>
        <v>143.7871070262</v>
      </c>
    </row>
    <row r="121" spans="1:20" x14ac:dyDescent="0.25">
      <c r="A121" s="6" t="str">
        <f>"14864347"</f>
        <v>14864347</v>
      </c>
      <c r="B121" s="6" t="s">
        <v>84</v>
      </c>
      <c r="C121" s="6"/>
      <c r="D121" s="6"/>
      <c r="E121" s="6">
        <v>35</v>
      </c>
      <c r="F121" s="6">
        <v>624.61368224281</v>
      </c>
      <c r="G121" s="6">
        <v>541.24471065202999</v>
      </c>
      <c r="H121" s="6">
        <v>0</v>
      </c>
      <c r="I121" s="6">
        <v>0</v>
      </c>
      <c r="J121" s="6">
        <v>0</v>
      </c>
      <c r="K121" s="6">
        <v>1</v>
      </c>
      <c r="L121" s="6">
        <v>0</v>
      </c>
      <c r="M121" s="6">
        <v>190.98099999999999</v>
      </c>
      <c r="N121" s="6">
        <v>171.88300000000001</v>
      </c>
      <c r="O121" s="6">
        <v>20</v>
      </c>
      <c r="P121" s="6">
        <v>10</v>
      </c>
      <c r="Q121" s="6">
        <v>115.01625052609999</v>
      </c>
      <c r="R121" s="6">
        <v>125.01625052609999</v>
      </c>
      <c r="S121" s="6">
        <v>827.34299999999996</v>
      </c>
      <c r="T121" s="9">
        <f t="shared" si="3"/>
        <v>1665.4869611781301</v>
      </c>
    </row>
    <row r="122" spans="1:20" x14ac:dyDescent="0.25">
      <c r="A122" s="6" t="str">
        <f>"24759384"</f>
        <v>24759384</v>
      </c>
      <c r="B122" s="6" t="s">
        <v>85</v>
      </c>
      <c r="C122" s="6"/>
      <c r="D122" s="6"/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/>
      <c r="Q122" s="6">
        <v>0</v>
      </c>
      <c r="R122" s="6">
        <v>0</v>
      </c>
      <c r="S122" s="6">
        <v>0</v>
      </c>
      <c r="T122" s="9">
        <f t="shared" si="3"/>
        <v>0</v>
      </c>
    </row>
    <row r="123" spans="1:20" x14ac:dyDescent="0.25">
      <c r="A123" s="6" t="str">
        <f>"00023001"</f>
        <v>00023001</v>
      </c>
      <c r="B123" s="6" t="s">
        <v>86</v>
      </c>
      <c r="C123" s="6"/>
      <c r="D123" s="6"/>
      <c r="E123" s="6">
        <v>923</v>
      </c>
      <c r="F123" s="6">
        <v>15220.760919348</v>
      </c>
      <c r="G123" s="6">
        <v>14198.263994104</v>
      </c>
      <c r="H123" s="6">
        <v>0</v>
      </c>
      <c r="I123" s="6">
        <v>0</v>
      </c>
      <c r="J123" s="6">
        <v>0</v>
      </c>
      <c r="K123" s="6">
        <v>6.1266100000000003</v>
      </c>
      <c r="L123" s="6">
        <v>4</v>
      </c>
      <c r="M123" s="6">
        <v>2931.06</v>
      </c>
      <c r="N123" s="6">
        <v>3601.3</v>
      </c>
      <c r="O123" s="6">
        <v>0</v>
      </c>
      <c r="P123" s="6">
        <v>0</v>
      </c>
      <c r="Q123" s="6">
        <v>1241.2920238153999</v>
      </c>
      <c r="R123" s="6">
        <v>1241.2920238153999</v>
      </c>
      <c r="S123" s="6">
        <v>2306.79</v>
      </c>
      <c r="T123" s="9">
        <f t="shared" si="3"/>
        <v>21347.6460179194</v>
      </c>
    </row>
    <row r="124" spans="1:20" x14ac:dyDescent="0.25">
      <c r="A124" s="6" t="str">
        <f>"00023841"</f>
        <v>00023841</v>
      </c>
      <c r="B124" s="6" t="s">
        <v>87</v>
      </c>
      <c r="C124" s="6"/>
      <c r="D124" s="6"/>
      <c r="E124" s="6">
        <v>5</v>
      </c>
      <c r="F124" s="6">
        <v>13.553999900818001</v>
      </c>
      <c r="G124" s="6">
        <v>11.937000155449001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/>
      <c r="Q124" s="6">
        <v>0</v>
      </c>
      <c r="R124" s="6">
        <v>0</v>
      </c>
      <c r="S124" s="6">
        <v>0</v>
      </c>
      <c r="T124" s="9">
        <f t="shared" si="3"/>
        <v>11.937000155449001</v>
      </c>
    </row>
    <row r="125" spans="1:20" x14ac:dyDescent="0.25">
      <c r="A125" s="6" t="str">
        <f>"48136841"</f>
        <v>48136841</v>
      </c>
      <c r="B125" s="6" t="s">
        <v>88</v>
      </c>
      <c r="C125" s="6"/>
      <c r="D125" s="6"/>
      <c r="E125" s="6">
        <v>108</v>
      </c>
      <c r="F125" s="6">
        <v>1618.5656355046001</v>
      </c>
      <c r="G125" s="6">
        <v>1586.3421257985001</v>
      </c>
      <c r="H125" s="6">
        <v>0</v>
      </c>
      <c r="I125" s="6">
        <v>0</v>
      </c>
      <c r="J125" s="6">
        <v>0</v>
      </c>
      <c r="K125" s="6">
        <v>1</v>
      </c>
      <c r="L125" s="6">
        <v>0</v>
      </c>
      <c r="M125" s="6">
        <v>188.001</v>
      </c>
      <c r="N125" s="6">
        <v>169.20099999999999</v>
      </c>
      <c r="O125" s="6">
        <v>0</v>
      </c>
      <c r="P125" s="6">
        <v>0</v>
      </c>
      <c r="Q125" s="6">
        <v>30.594649855499998</v>
      </c>
      <c r="R125" s="6">
        <v>30.594649855499998</v>
      </c>
      <c r="S125" s="6">
        <v>52.947000000000003</v>
      </c>
      <c r="T125" s="9">
        <f t="shared" si="3"/>
        <v>1839.0847756540002</v>
      </c>
    </row>
    <row r="126" spans="1:20" x14ac:dyDescent="0.25">
      <c r="A126" s="6" t="str">
        <f>"00023205"</f>
        <v>00023205</v>
      </c>
      <c r="B126" s="6" t="s">
        <v>89</v>
      </c>
      <c r="C126" s="6"/>
      <c r="D126" s="6"/>
      <c r="E126" s="6">
        <v>68</v>
      </c>
      <c r="F126" s="6">
        <v>1122.9182279325</v>
      </c>
      <c r="G126" s="6">
        <v>1073.2487800537001</v>
      </c>
      <c r="H126" s="6">
        <v>0</v>
      </c>
      <c r="I126" s="6">
        <v>0</v>
      </c>
      <c r="J126" s="6">
        <v>0</v>
      </c>
      <c r="K126" s="6">
        <v>0.1</v>
      </c>
      <c r="L126" s="6">
        <v>0</v>
      </c>
      <c r="M126" s="6">
        <v>145.17699999999999</v>
      </c>
      <c r="N126" s="6">
        <v>130.65899999999999</v>
      </c>
      <c r="O126" s="6">
        <v>0</v>
      </c>
      <c r="P126" s="6">
        <v>0</v>
      </c>
      <c r="Q126" s="6">
        <v>82.928679922399994</v>
      </c>
      <c r="R126" s="6">
        <v>82.928679922399994</v>
      </c>
      <c r="S126" s="6">
        <v>167.489</v>
      </c>
      <c r="T126" s="9">
        <f t="shared" si="3"/>
        <v>1454.3254599761003</v>
      </c>
    </row>
    <row r="127" spans="1:20" x14ac:dyDescent="0.25">
      <c r="A127" s="6" t="str">
        <f>"02277387"</f>
        <v>02277387</v>
      </c>
      <c r="B127" s="6" t="s">
        <v>90</v>
      </c>
      <c r="C127" s="6"/>
      <c r="D127" s="6"/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22.843732545799998</v>
      </c>
      <c r="R127" s="6">
        <v>22.843732545799998</v>
      </c>
      <c r="S127" s="6">
        <v>0</v>
      </c>
      <c r="T127" s="9">
        <f t="shared" si="3"/>
        <v>22.843732545799998</v>
      </c>
    </row>
    <row r="128" spans="1:20" x14ac:dyDescent="0.25">
      <c r="A128" s="6" t="str">
        <f>"60445815"</f>
        <v>60445815</v>
      </c>
      <c r="B128" s="6" t="s">
        <v>91</v>
      </c>
      <c r="C128" s="6"/>
      <c r="D128" s="6"/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/>
      <c r="Q128" s="6">
        <v>0</v>
      </c>
      <c r="R128" s="6">
        <v>0</v>
      </c>
      <c r="S128" s="6">
        <v>0</v>
      </c>
      <c r="T128" s="9">
        <f t="shared" si="3"/>
        <v>0</v>
      </c>
    </row>
    <row r="129" spans="1:20" x14ac:dyDescent="0.25">
      <c r="A129" s="6" t="str">
        <f t="shared" ref="A129:A136" si="5">"62156462"</f>
        <v>62156462</v>
      </c>
      <c r="B129" s="6" t="s">
        <v>92</v>
      </c>
      <c r="C129" s="6"/>
      <c r="D129" s="6" t="s">
        <v>246</v>
      </c>
      <c r="E129" s="6">
        <v>53</v>
      </c>
      <c r="F129" s="6">
        <v>1089.2139986753</v>
      </c>
      <c r="G129" s="6">
        <v>1206.8280022143999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/>
      <c r="Q129" s="6">
        <v>0</v>
      </c>
      <c r="R129" s="6">
        <v>0</v>
      </c>
      <c r="S129" s="6">
        <v>0</v>
      </c>
      <c r="T129" s="9">
        <f t="shared" si="3"/>
        <v>1206.8280022143999</v>
      </c>
    </row>
    <row r="130" spans="1:20" x14ac:dyDescent="0.25">
      <c r="A130" s="6" t="str">
        <f t="shared" si="5"/>
        <v>62156462</v>
      </c>
      <c r="B130" s="6" t="s">
        <v>92</v>
      </c>
      <c r="C130" s="6"/>
      <c r="D130" s="6"/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1</v>
      </c>
      <c r="L130" s="6">
        <v>0</v>
      </c>
      <c r="M130" s="6">
        <v>171.767</v>
      </c>
      <c r="N130" s="6">
        <v>154.59</v>
      </c>
      <c r="O130" s="6">
        <v>0</v>
      </c>
      <c r="P130" s="6"/>
      <c r="Q130" s="6">
        <v>0</v>
      </c>
      <c r="R130" s="6">
        <v>0</v>
      </c>
      <c r="S130" s="6">
        <v>0</v>
      </c>
      <c r="T130" s="9">
        <f t="shared" si="3"/>
        <v>154.59</v>
      </c>
    </row>
    <row r="131" spans="1:20" x14ac:dyDescent="0.25">
      <c r="A131" s="6" t="str">
        <f t="shared" si="5"/>
        <v>62156462</v>
      </c>
      <c r="B131" s="6" t="s">
        <v>92</v>
      </c>
      <c r="C131" s="6">
        <v>54510</v>
      </c>
      <c r="D131" s="6" t="s">
        <v>247</v>
      </c>
      <c r="E131" s="6">
        <v>12</v>
      </c>
      <c r="F131" s="6">
        <v>145.90027555556</v>
      </c>
      <c r="G131" s="6">
        <v>87.673822404402003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/>
      <c r="Q131" s="6">
        <v>0</v>
      </c>
      <c r="R131" s="6">
        <v>0</v>
      </c>
      <c r="S131" s="6">
        <v>0</v>
      </c>
      <c r="T131" s="9">
        <f t="shared" si="3"/>
        <v>87.673822404402003</v>
      </c>
    </row>
    <row r="132" spans="1:20" x14ac:dyDescent="0.25">
      <c r="A132" s="6" t="str">
        <f t="shared" si="5"/>
        <v>62156462</v>
      </c>
      <c r="B132" s="6" t="s">
        <v>92</v>
      </c>
      <c r="C132" s="6">
        <v>54530</v>
      </c>
      <c r="D132" s="6" t="s">
        <v>248</v>
      </c>
      <c r="E132" s="6">
        <v>13</v>
      </c>
      <c r="F132" s="6">
        <v>430.30074921702999</v>
      </c>
      <c r="G132" s="6">
        <v>278.51370263115001</v>
      </c>
      <c r="H132" s="6">
        <v>0</v>
      </c>
      <c r="I132" s="6">
        <v>0</v>
      </c>
      <c r="J132" s="6">
        <v>0</v>
      </c>
      <c r="K132" s="6">
        <v>1</v>
      </c>
      <c r="L132" s="6">
        <v>0</v>
      </c>
      <c r="M132" s="6">
        <v>13.739000000000001</v>
      </c>
      <c r="N132" s="6">
        <v>12.3651</v>
      </c>
      <c r="O132" s="6">
        <v>0</v>
      </c>
      <c r="P132" s="6"/>
      <c r="Q132" s="6">
        <v>0</v>
      </c>
      <c r="R132" s="6">
        <v>0</v>
      </c>
      <c r="S132" s="6">
        <v>0</v>
      </c>
      <c r="T132" s="9">
        <f t="shared" si="3"/>
        <v>290.87880263114999</v>
      </c>
    </row>
    <row r="133" spans="1:20" x14ac:dyDescent="0.25">
      <c r="A133" s="6" t="str">
        <f t="shared" si="5"/>
        <v>62156462</v>
      </c>
      <c r="B133" s="6" t="s">
        <v>92</v>
      </c>
      <c r="C133" s="6">
        <v>54610</v>
      </c>
      <c r="D133" s="6" t="s">
        <v>303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/>
      <c r="Q133" s="6">
        <v>0</v>
      </c>
      <c r="R133" s="6">
        <v>0</v>
      </c>
      <c r="S133" s="6">
        <v>0</v>
      </c>
      <c r="T133" s="9">
        <f t="shared" ref="T133:T196" si="6">G133+J133+N133+R133+S133</f>
        <v>0</v>
      </c>
    </row>
    <row r="134" spans="1:20" x14ac:dyDescent="0.25">
      <c r="A134" s="6" t="str">
        <f t="shared" si="5"/>
        <v>62156462</v>
      </c>
      <c r="B134" s="6" t="s">
        <v>92</v>
      </c>
      <c r="C134" s="6">
        <v>54710</v>
      </c>
      <c r="D134" s="6" t="s">
        <v>304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/>
      <c r="Q134" s="6">
        <v>0</v>
      </c>
      <c r="R134" s="6">
        <v>0</v>
      </c>
      <c r="S134" s="6">
        <v>0</v>
      </c>
      <c r="T134" s="9">
        <f t="shared" si="6"/>
        <v>0</v>
      </c>
    </row>
    <row r="135" spans="1:20" x14ac:dyDescent="0.25">
      <c r="A135" s="6" t="str">
        <f t="shared" si="5"/>
        <v>62156462</v>
      </c>
      <c r="B135" s="6" t="s">
        <v>92</v>
      </c>
      <c r="C135" s="6">
        <v>54810</v>
      </c>
      <c r="D135" s="6" t="s">
        <v>258</v>
      </c>
      <c r="E135" s="6">
        <v>7</v>
      </c>
      <c r="F135" s="6">
        <v>96.780000209807994</v>
      </c>
      <c r="G135" s="6">
        <v>97.401003122329996</v>
      </c>
      <c r="H135" s="6">
        <v>0</v>
      </c>
      <c r="I135" s="6">
        <v>0</v>
      </c>
      <c r="J135" s="6">
        <v>0</v>
      </c>
      <c r="K135" s="6">
        <v>1</v>
      </c>
      <c r="L135" s="6">
        <v>0</v>
      </c>
      <c r="M135" s="6">
        <v>27.597000000000001</v>
      </c>
      <c r="N135" s="6">
        <v>24.837299999999999</v>
      </c>
      <c r="O135" s="6">
        <v>0</v>
      </c>
      <c r="P135" s="6"/>
      <c r="Q135" s="6">
        <v>0</v>
      </c>
      <c r="R135" s="6">
        <v>0</v>
      </c>
      <c r="S135" s="6">
        <v>0</v>
      </c>
      <c r="T135" s="9">
        <f t="shared" si="6"/>
        <v>122.23830312233</v>
      </c>
    </row>
    <row r="136" spans="1:20" x14ac:dyDescent="0.25">
      <c r="A136" s="6" t="str">
        <f t="shared" si="5"/>
        <v>62156462</v>
      </c>
      <c r="B136" s="6" t="s">
        <v>92</v>
      </c>
      <c r="C136" s="6" t="s">
        <v>305</v>
      </c>
      <c r="D136" s="6" t="s">
        <v>257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/>
      <c r="Q136" s="6">
        <v>0</v>
      </c>
      <c r="R136" s="6">
        <v>0</v>
      </c>
      <c r="S136" s="6">
        <v>0</v>
      </c>
      <c r="T136" s="9">
        <f t="shared" si="6"/>
        <v>0</v>
      </c>
    </row>
    <row r="137" spans="1:20" x14ac:dyDescent="0.25">
      <c r="A137" s="6" t="str">
        <f t="shared" ref="A137:A160" si="7">"60076658"</f>
        <v>60076658</v>
      </c>
      <c r="B137" s="6" t="s">
        <v>93</v>
      </c>
      <c r="C137" s="6"/>
      <c r="D137" s="6" t="s">
        <v>246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/>
      <c r="Q137" s="6">
        <v>0</v>
      </c>
      <c r="R137" s="6">
        <v>0</v>
      </c>
      <c r="S137" s="6">
        <v>0</v>
      </c>
      <c r="T137" s="9">
        <f t="shared" si="6"/>
        <v>0</v>
      </c>
    </row>
    <row r="138" spans="1:20" x14ac:dyDescent="0.25">
      <c r="A138" s="6" t="str">
        <f t="shared" si="7"/>
        <v>60076658</v>
      </c>
      <c r="B138" s="6" t="s">
        <v>93</v>
      </c>
      <c r="C138" s="6"/>
      <c r="D138" s="6"/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22.14</v>
      </c>
      <c r="L138" s="6">
        <v>0</v>
      </c>
      <c r="M138" s="6">
        <v>77.616</v>
      </c>
      <c r="N138" s="6">
        <v>69.854399999999998</v>
      </c>
      <c r="O138" s="6">
        <v>0</v>
      </c>
      <c r="P138" s="6"/>
      <c r="Q138" s="6">
        <v>0</v>
      </c>
      <c r="R138" s="6">
        <v>0</v>
      </c>
      <c r="S138" s="6">
        <v>0</v>
      </c>
      <c r="T138" s="9">
        <f t="shared" si="6"/>
        <v>69.854399999999998</v>
      </c>
    </row>
    <row r="139" spans="1:20" x14ac:dyDescent="0.25">
      <c r="A139" s="6" t="str">
        <f t="shared" si="7"/>
        <v>60076658</v>
      </c>
      <c r="B139" s="6" t="s">
        <v>93</v>
      </c>
      <c r="C139" s="6">
        <v>12110</v>
      </c>
      <c r="D139" s="6" t="s">
        <v>306</v>
      </c>
      <c r="E139" s="6">
        <v>204</v>
      </c>
      <c r="F139" s="6">
        <v>1748.3888427269001</v>
      </c>
      <c r="G139" s="6">
        <v>1600.9825617951999</v>
      </c>
      <c r="H139" s="6">
        <v>0</v>
      </c>
      <c r="I139" s="6">
        <v>0</v>
      </c>
      <c r="J139" s="6">
        <v>0</v>
      </c>
      <c r="K139" s="6">
        <v>22.14</v>
      </c>
      <c r="L139" s="6">
        <v>0</v>
      </c>
      <c r="M139" s="6">
        <v>245.17099999999999</v>
      </c>
      <c r="N139" s="6">
        <v>220.654</v>
      </c>
      <c r="O139" s="6">
        <v>0</v>
      </c>
      <c r="P139" s="6">
        <v>0</v>
      </c>
      <c r="Q139" s="6">
        <v>66.547453629399996</v>
      </c>
      <c r="R139" s="6">
        <v>66.547453629399996</v>
      </c>
      <c r="S139" s="6">
        <v>49.651000000000003</v>
      </c>
      <c r="T139" s="9">
        <f t="shared" si="6"/>
        <v>1937.8350154246</v>
      </c>
    </row>
    <row r="140" spans="1:20" x14ac:dyDescent="0.25">
      <c r="A140" s="6" t="str">
        <f t="shared" si="7"/>
        <v>60076658</v>
      </c>
      <c r="B140" s="6" t="s">
        <v>93</v>
      </c>
      <c r="C140" s="6">
        <v>12210</v>
      </c>
      <c r="D140" s="6" t="s">
        <v>307</v>
      </c>
      <c r="E140" s="6">
        <v>525</v>
      </c>
      <c r="F140" s="6">
        <v>5678.5337759640997</v>
      </c>
      <c r="G140" s="6">
        <v>5548.1301976346003</v>
      </c>
      <c r="H140" s="6">
        <v>0</v>
      </c>
      <c r="I140" s="6">
        <v>0</v>
      </c>
      <c r="J140" s="6">
        <v>0</v>
      </c>
      <c r="K140" s="6">
        <v>22.14</v>
      </c>
      <c r="L140" s="6">
        <v>1</v>
      </c>
      <c r="M140" s="6">
        <v>1011.18</v>
      </c>
      <c r="N140" s="6">
        <v>1144.8800000000001</v>
      </c>
      <c r="O140" s="6">
        <v>0</v>
      </c>
      <c r="P140" s="6"/>
      <c r="Q140" s="6">
        <v>0</v>
      </c>
      <c r="R140" s="6">
        <v>0</v>
      </c>
      <c r="S140" s="6">
        <v>0</v>
      </c>
      <c r="T140" s="9">
        <f t="shared" si="6"/>
        <v>6693.0101976346004</v>
      </c>
    </row>
    <row r="141" spans="1:20" x14ac:dyDescent="0.25">
      <c r="A141" s="6" t="str">
        <f t="shared" si="7"/>
        <v>60076658</v>
      </c>
      <c r="B141" s="6" t="s">
        <v>93</v>
      </c>
      <c r="C141" s="6">
        <v>12220</v>
      </c>
      <c r="D141" s="6" t="s">
        <v>308</v>
      </c>
      <c r="E141" s="6">
        <v>425</v>
      </c>
      <c r="F141" s="6">
        <v>4696.8381837784</v>
      </c>
      <c r="G141" s="6">
        <v>4955.5206057937003</v>
      </c>
      <c r="H141" s="6">
        <v>0</v>
      </c>
      <c r="I141" s="6">
        <v>0</v>
      </c>
      <c r="J141" s="6">
        <v>0</v>
      </c>
      <c r="K141" s="6">
        <v>22.14</v>
      </c>
      <c r="L141" s="6">
        <v>0</v>
      </c>
      <c r="M141" s="6">
        <v>1047.1500000000001</v>
      </c>
      <c r="N141" s="6">
        <v>942.43499999999995</v>
      </c>
      <c r="O141" s="6">
        <v>50</v>
      </c>
      <c r="P141" s="6">
        <v>50</v>
      </c>
      <c r="Q141" s="6">
        <v>205.81855357320001</v>
      </c>
      <c r="R141" s="6">
        <v>255.81855357320001</v>
      </c>
      <c r="S141" s="6">
        <v>2072.4499999999998</v>
      </c>
      <c r="T141" s="9">
        <f t="shared" si="6"/>
        <v>8226.2241593669005</v>
      </c>
    </row>
    <row r="142" spans="1:20" x14ac:dyDescent="0.25">
      <c r="A142" s="6" t="str">
        <f t="shared" si="7"/>
        <v>60076658</v>
      </c>
      <c r="B142" s="6" t="s">
        <v>93</v>
      </c>
      <c r="C142" s="6">
        <v>12260</v>
      </c>
      <c r="D142" s="6" t="s">
        <v>309</v>
      </c>
      <c r="E142" s="6">
        <v>274</v>
      </c>
      <c r="F142" s="6">
        <v>3741.4840536784</v>
      </c>
      <c r="G142" s="6">
        <v>3357.8507913896001</v>
      </c>
      <c r="H142" s="6">
        <v>0</v>
      </c>
      <c r="I142" s="6">
        <v>0</v>
      </c>
      <c r="J142" s="6">
        <v>0</v>
      </c>
      <c r="K142" s="6">
        <v>22.14</v>
      </c>
      <c r="L142" s="6">
        <v>1</v>
      </c>
      <c r="M142" s="6">
        <v>305.22000000000003</v>
      </c>
      <c r="N142" s="6">
        <v>509.52</v>
      </c>
      <c r="O142" s="6">
        <v>0</v>
      </c>
      <c r="P142" s="6"/>
      <c r="Q142" s="6">
        <v>0</v>
      </c>
      <c r="R142" s="6">
        <v>0</v>
      </c>
      <c r="S142" s="6">
        <v>0</v>
      </c>
      <c r="T142" s="9">
        <f t="shared" si="6"/>
        <v>3867.3707913896001</v>
      </c>
    </row>
    <row r="143" spans="1:20" x14ac:dyDescent="0.25">
      <c r="A143" s="6" t="str">
        <f t="shared" si="7"/>
        <v>60076658</v>
      </c>
      <c r="B143" s="6" t="s">
        <v>93</v>
      </c>
      <c r="C143" s="6">
        <v>12310</v>
      </c>
      <c r="D143" s="6" t="s">
        <v>310</v>
      </c>
      <c r="E143" s="6">
        <v>1352</v>
      </c>
      <c r="F143" s="6">
        <v>24573.373760746999</v>
      </c>
      <c r="G143" s="6">
        <v>25660.617075203001</v>
      </c>
      <c r="H143" s="6">
        <v>0</v>
      </c>
      <c r="I143" s="6">
        <v>0</v>
      </c>
      <c r="J143" s="6">
        <v>0</v>
      </c>
      <c r="K143" s="6">
        <v>22.14</v>
      </c>
      <c r="L143" s="6">
        <v>9</v>
      </c>
      <c r="M143" s="6">
        <v>2477.61</v>
      </c>
      <c r="N143" s="6">
        <v>2708.59</v>
      </c>
      <c r="O143" s="6">
        <v>0</v>
      </c>
      <c r="P143" s="6">
        <v>0</v>
      </c>
      <c r="Q143" s="6">
        <v>19.203460036300001</v>
      </c>
      <c r="R143" s="6">
        <v>19.203460036300001</v>
      </c>
      <c r="S143" s="6">
        <v>66.257999999999996</v>
      </c>
      <c r="T143" s="9">
        <f t="shared" si="6"/>
        <v>28454.668535239303</v>
      </c>
    </row>
    <row r="144" spans="1:20" x14ac:dyDescent="0.25">
      <c r="A144" s="6" t="str">
        <f t="shared" si="7"/>
        <v>60076658</v>
      </c>
      <c r="B144" s="6" t="s">
        <v>93</v>
      </c>
      <c r="C144" s="6">
        <v>12410</v>
      </c>
      <c r="D144" s="6" t="s">
        <v>311</v>
      </c>
      <c r="E144" s="6">
        <v>462</v>
      </c>
      <c r="F144" s="6">
        <v>4325.7464018636001</v>
      </c>
      <c r="G144" s="6">
        <v>4030.7276840303002</v>
      </c>
      <c r="H144" s="6">
        <v>0</v>
      </c>
      <c r="I144" s="6">
        <v>0</v>
      </c>
      <c r="J144" s="6">
        <v>0</v>
      </c>
      <c r="K144" s="6">
        <v>22.14</v>
      </c>
      <c r="L144" s="6">
        <v>0</v>
      </c>
      <c r="M144" s="6">
        <v>512.84100000000001</v>
      </c>
      <c r="N144" s="6">
        <v>461.55700000000002</v>
      </c>
      <c r="O144" s="6">
        <v>0</v>
      </c>
      <c r="P144" s="6"/>
      <c r="Q144" s="6">
        <v>0</v>
      </c>
      <c r="R144" s="6">
        <v>0</v>
      </c>
      <c r="S144" s="6">
        <v>77.475300000000004</v>
      </c>
      <c r="T144" s="9">
        <f t="shared" si="6"/>
        <v>4569.7599840303001</v>
      </c>
    </row>
    <row r="145" spans="1:20" x14ac:dyDescent="0.25">
      <c r="A145" s="6" t="str">
        <f t="shared" si="7"/>
        <v>60076658</v>
      </c>
      <c r="B145" s="6" t="s">
        <v>93</v>
      </c>
      <c r="C145" s="6">
        <v>12510</v>
      </c>
      <c r="D145" s="6" t="s">
        <v>312</v>
      </c>
      <c r="E145" s="6">
        <v>322</v>
      </c>
      <c r="F145" s="6">
        <v>3405.8763962083999</v>
      </c>
      <c r="G145" s="6">
        <v>2993.9125044757002</v>
      </c>
      <c r="H145" s="6">
        <v>0</v>
      </c>
      <c r="I145" s="6">
        <v>0</v>
      </c>
      <c r="J145" s="6">
        <v>0</v>
      </c>
      <c r="K145" s="6">
        <v>22.14</v>
      </c>
      <c r="L145" s="6">
        <v>0</v>
      </c>
      <c r="M145" s="6">
        <v>466.32100000000003</v>
      </c>
      <c r="N145" s="6">
        <v>419.68900000000002</v>
      </c>
      <c r="O145" s="6">
        <v>10</v>
      </c>
      <c r="P145" s="6">
        <v>10</v>
      </c>
      <c r="Q145" s="6">
        <v>0</v>
      </c>
      <c r="R145" s="6">
        <v>10</v>
      </c>
      <c r="S145" s="6">
        <v>426.83800000000002</v>
      </c>
      <c r="T145" s="9">
        <f t="shared" si="6"/>
        <v>3850.4395044757002</v>
      </c>
    </row>
    <row r="146" spans="1:20" x14ac:dyDescent="0.25">
      <c r="A146" s="6" t="str">
        <f t="shared" si="7"/>
        <v>60076658</v>
      </c>
      <c r="B146" s="6" t="s">
        <v>93</v>
      </c>
      <c r="C146" s="6">
        <v>12520</v>
      </c>
      <c r="D146" s="6" t="s">
        <v>313</v>
      </c>
      <c r="E146" s="6">
        <v>502</v>
      </c>
      <c r="F146" s="6">
        <v>12496.736836126</v>
      </c>
      <c r="G146" s="6">
        <v>13615.640609537</v>
      </c>
      <c r="H146" s="6">
        <v>0</v>
      </c>
      <c r="I146" s="6">
        <v>0</v>
      </c>
      <c r="J146" s="6">
        <v>0</v>
      </c>
      <c r="K146" s="6">
        <v>22.14</v>
      </c>
      <c r="L146" s="6">
        <v>0</v>
      </c>
      <c r="M146" s="6">
        <v>2406.1799999999998</v>
      </c>
      <c r="N146" s="6">
        <v>2165.56</v>
      </c>
      <c r="O146" s="6">
        <v>25</v>
      </c>
      <c r="P146" s="6">
        <v>25</v>
      </c>
      <c r="Q146" s="6">
        <v>237.06763444169999</v>
      </c>
      <c r="R146" s="6">
        <v>262.06763444170002</v>
      </c>
      <c r="S146" s="6">
        <v>1927.33</v>
      </c>
      <c r="T146" s="9">
        <f t="shared" si="6"/>
        <v>17970.5982439787</v>
      </c>
    </row>
    <row r="147" spans="1:20" x14ac:dyDescent="0.25">
      <c r="A147" s="6" t="str">
        <f t="shared" si="7"/>
        <v>60076658</v>
      </c>
      <c r="B147" s="6" t="s">
        <v>93</v>
      </c>
      <c r="C147" s="6">
        <v>12610</v>
      </c>
      <c r="D147" s="6" t="s">
        <v>314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22.14</v>
      </c>
      <c r="L147" s="6">
        <v>0</v>
      </c>
      <c r="M147" s="6">
        <v>167.46299999999999</v>
      </c>
      <c r="N147" s="6">
        <v>150.71700000000001</v>
      </c>
      <c r="O147" s="6">
        <v>0</v>
      </c>
      <c r="P147" s="6">
        <v>0</v>
      </c>
      <c r="Q147" s="6">
        <v>29.449395582800001</v>
      </c>
      <c r="R147" s="6">
        <v>29.449395582800001</v>
      </c>
      <c r="S147" s="6">
        <v>117.43300000000001</v>
      </c>
      <c r="T147" s="9">
        <f t="shared" si="6"/>
        <v>297.59939558280001</v>
      </c>
    </row>
    <row r="148" spans="1:20" x14ac:dyDescent="0.25">
      <c r="A148" s="6" t="str">
        <f t="shared" si="7"/>
        <v>60076658</v>
      </c>
      <c r="B148" s="6" t="s">
        <v>93</v>
      </c>
      <c r="C148" s="6">
        <v>12620</v>
      </c>
      <c r="D148" s="6" t="s">
        <v>315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/>
      <c r="Q148" s="6">
        <v>0</v>
      </c>
      <c r="R148" s="6">
        <v>0</v>
      </c>
      <c r="S148" s="6">
        <v>0</v>
      </c>
      <c r="T148" s="9">
        <f t="shared" si="6"/>
        <v>0</v>
      </c>
    </row>
    <row r="149" spans="1:20" x14ac:dyDescent="0.25">
      <c r="A149" s="6" t="str">
        <f t="shared" si="7"/>
        <v>60076658</v>
      </c>
      <c r="B149" s="6" t="s">
        <v>93</v>
      </c>
      <c r="C149" s="6">
        <v>12630</v>
      </c>
      <c r="D149" s="6" t="s">
        <v>316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/>
      <c r="Q149" s="6">
        <v>0</v>
      </c>
      <c r="R149" s="6">
        <v>0</v>
      </c>
      <c r="S149" s="6">
        <v>0</v>
      </c>
      <c r="T149" s="9">
        <f t="shared" si="6"/>
        <v>0</v>
      </c>
    </row>
    <row r="150" spans="1:20" x14ac:dyDescent="0.25">
      <c r="A150" s="6" t="str">
        <f t="shared" si="7"/>
        <v>60076658</v>
      </c>
      <c r="B150" s="6" t="s">
        <v>93</v>
      </c>
      <c r="C150" s="6">
        <v>12640</v>
      </c>
      <c r="D150" s="6" t="s">
        <v>317</v>
      </c>
      <c r="E150" s="6">
        <v>114</v>
      </c>
      <c r="F150" s="6">
        <v>2103.7039996386002</v>
      </c>
      <c r="G150" s="6">
        <v>2477.7140054703</v>
      </c>
      <c r="H150" s="6">
        <v>0</v>
      </c>
      <c r="I150" s="6">
        <v>0</v>
      </c>
      <c r="J150" s="6">
        <v>0</v>
      </c>
      <c r="K150" s="6">
        <v>22.14</v>
      </c>
      <c r="L150" s="6">
        <v>1</v>
      </c>
      <c r="M150" s="6">
        <v>0</v>
      </c>
      <c r="N150" s="6">
        <v>102.408</v>
      </c>
      <c r="O150" s="6">
        <v>0</v>
      </c>
      <c r="P150" s="6">
        <v>0</v>
      </c>
      <c r="Q150" s="6">
        <v>54.4813818282</v>
      </c>
      <c r="R150" s="6">
        <v>54.4813818282</v>
      </c>
      <c r="S150" s="6">
        <v>0</v>
      </c>
      <c r="T150" s="9">
        <f t="shared" si="6"/>
        <v>2634.6033872984999</v>
      </c>
    </row>
    <row r="151" spans="1:20" x14ac:dyDescent="0.25">
      <c r="A151" s="6" t="str">
        <f t="shared" si="7"/>
        <v>60076658</v>
      </c>
      <c r="B151" s="6" t="s">
        <v>93</v>
      </c>
      <c r="C151" s="6">
        <v>12650</v>
      </c>
      <c r="D151" s="6" t="s">
        <v>318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/>
      <c r="Q151" s="6">
        <v>0</v>
      </c>
      <c r="R151" s="6">
        <v>0</v>
      </c>
      <c r="S151" s="6">
        <v>0</v>
      </c>
      <c r="T151" s="9">
        <f t="shared" si="6"/>
        <v>0</v>
      </c>
    </row>
    <row r="152" spans="1:20" x14ac:dyDescent="0.25">
      <c r="A152" s="6" t="str">
        <f t="shared" si="7"/>
        <v>60076658</v>
      </c>
      <c r="B152" s="6" t="s">
        <v>93</v>
      </c>
      <c r="C152" s="6">
        <v>12660</v>
      </c>
      <c r="D152" s="6" t="s">
        <v>319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/>
      <c r="Q152" s="6">
        <v>0</v>
      </c>
      <c r="R152" s="6">
        <v>0</v>
      </c>
      <c r="S152" s="6">
        <v>0</v>
      </c>
      <c r="T152" s="9">
        <f t="shared" si="6"/>
        <v>0</v>
      </c>
    </row>
    <row r="153" spans="1:20" x14ac:dyDescent="0.25">
      <c r="A153" s="6" t="str">
        <f t="shared" si="7"/>
        <v>60076658</v>
      </c>
      <c r="B153" s="6" t="s">
        <v>93</v>
      </c>
      <c r="C153" s="6">
        <v>12670</v>
      </c>
      <c r="D153" s="6" t="s">
        <v>320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/>
      <c r="Q153" s="6">
        <v>0</v>
      </c>
      <c r="R153" s="6">
        <v>0</v>
      </c>
      <c r="S153" s="6">
        <v>0</v>
      </c>
      <c r="T153" s="9">
        <f t="shared" si="6"/>
        <v>0</v>
      </c>
    </row>
    <row r="154" spans="1:20" x14ac:dyDescent="0.25">
      <c r="A154" s="6" t="str">
        <f t="shared" si="7"/>
        <v>60076658</v>
      </c>
      <c r="B154" s="6" t="s">
        <v>93</v>
      </c>
      <c r="C154" s="6">
        <v>12680</v>
      </c>
      <c r="D154" s="6" t="s">
        <v>321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/>
      <c r="Q154" s="6">
        <v>0</v>
      </c>
      <c r="R154" s="6">
        <v>0</v>
      </c>
      <c r="S154" s="6">
        <v>0</v>
      </c>
      <c r="T154" s="9">
        <f t="shared" si="6"/>
        <v>0</v>
      </c>
    </row>
    <row r="155" spans="1:20" x14ac:dyDescent="0.25">
      <c r="A155" s="6" t="str">
        <f t="shared" si="7"/>
        <v>60076658</v>
      </c>
      <c r="B155" s="6" t="s">
        <v>93</v>
      </c>
      <c r="C155" s="6">
        <v>12690</v>
      </c>
      <c r="D155" s="6" t="s">
        <v>322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/>
      <c r="Q155" s="6">
        <v>0</v>
      </c>
      <c r="R155" s="6">
        <v>0</v>
      </c>
      <c r="S155" s="6">
        <v>0</v>
      </c>
      <c r="T155" s="9">
        <f t="shared" si="6"/>
        <v>0</v>
      </c>
    </row>
    <row r="156" spans="1:20" x14ac:dyDescent="0.25">
      <c r="A156" s="6" t="str">
        <f t="shared" si="7"/>
        <v>60076658</v>
      </c>
      <c r="B156" s="6" t="s">
        <v>93</v>
      </c>
      <c r="C156" s="6">
        <v>12700</v>
      </c>
      <c r="D156" s="6" t="s">
        <v>323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/>
      <c r="Q156" s="6">
        <v>0</v>
      </c>
      <c r="R156" s="6">
        <v>0</v>
      </c>
      <c r="S156" s="6">
        <v>0</v>
      </c>
      <c r="T156" s="9">
        <f t="shared" si="6"/>
        <v>0</v>
      </c>
    </row>
    <row r="157" spans="1:20" x14ac:dyDescent="0.25">
      <c r="A157" s="6" t="str">
        <f t="shared" si="7"/>
        <v>60076658</v>
      </c>
      <c r="B157" s="6" t="s">
        <v>93</v>
      </c>
      <c r="C157" s="6">
        <v>12710</v>
      </c>
      <c r="D157" s="6" t="s">
        <v>324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/>
      <c r="Q157" s="6">
        <v>0</v>
      </c>
      <c r="R157" s="6">
        <v>0</v>
      </c>
      <c r="S157" s="6">
        <v>0</v>
      </c>
      <c r="T157" s="9">
        <f t="shared" si="6"/>
        <v>0</v>
      </c>
    </row>
    <row r="158" spans="1:20" x14ac:dyDescent="0.25">
      <c r="A158" s="6" t="str">
        <f t="shared" si="7"/>
        <v>60076658</v>
      </c>
      <c r="B158" s="6" t="s">
        <v>93</v>
      </c>
      <c r="C158" s="6">
        <v>12810</v>
      </c>
      <c r="D158" s="6" t="s">
        <v>258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/>
      <c r="Q158" s="6">
        <v>0</v>
      </c>
      <c r="R158" s="6">
        <v>0</v>
      </c>
      <c r="S158" s="6">
        <v>0</v>
      </c>
      <c r="T158" s="9">
        <f t="shared" si="6"/>
        <v>0</v>
      </c>
    </row>
    <row r="159" spans="1:20" x14ac:dyDescent="0.25">
      <c r="A159" s="6" t="str">
        <f t="shared" si="7"/>
        <v>60076658</v>
      </c>
      <c r="B159" s="6" t="s">
        <v>93</v>
      </c>
      <c r="C159" s="6" t="s">
        <v>325</v>
      </c>
      <c r="D159" s="6" t="s">
        <v>257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/>
      <c r="Q159" s="6">
        <v>0</v>
      </c>
      <c r="R159" s="6">
        <v>0</v>
      </c>
      <c r="S159" s="6">
        <v>0</v>
      </c>
      <c r="T159" s="9">
        <f t="shared" si="6"/>
        <v>0</v>
      </c>
    </row>
    <row r="160" spans="1:20" x14ac:dyDescent="0.25">
      <c r="A160" s="6" t="str">
        <f t="shared" si="7"/>
        <v>60076658</v>
      </c>
      <c r="B160" s="6" t="s">
        <v>93</v>
      </c>
      <c r="C160" s="6" t="s">
        <v>326</v>
      </c>
      <c r="D160" s="6" t="s">
        <v>327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/>
      <c r="Q160" s="6">
        <v>0</v>
      </c>
      <c r="R160" s="6">
        <v>0</v>
      </c>
      <c r="S160" s="6">
        <v>0</v>
      </c>
      <c r="T160" s="9">
        <f t="shared" si="6"/>
        <v>0</v>
      </c>
    </row>
    <row r="161" spans="1:20" x14ac:dyDescent="0.25">
      <c r="A161" s="6" t="str">
        <f>"67985971"</f>
        <v>67985971</v>
      </c>
      <c r="B161" s="6" t="s">
        <v>94</v>
      </c>
      <c r="C161" s="6"/>
      <c r="D161" s="6"/>
      <c r="E161" s="6">
        <v>20</v>
      </c>
      <c r="F161" s="6">
        <v>136.56981980897999</v>
      </c>
      <c r="G161" s="6">
        <v>118.27121673534</v>
      </c>
      <c r="H161" s="6">
        <v>0</v>
      </c>
      <c r="I161" s="6">
        <v>0</v>
      </c>
      <c r="J161" s="6">
        <v>0</v>
      </c>
      <c r="K161" s="6">
        <v>3.3333300000000001</v>
      </c>
      <c r="L161" s="6">
        <v>0</v>
      </c>
      <c r="M161" s="6">
        <v>44.054099999999998</v>
      </c>
      <c r="N161" s="6">
        <v>39.648699999999998</v>
      </c>
      <c r="O161" s="6">
        <v>0</v>
      </c>
      <c r="P161" s="6">
        <v>0</v>
      </c>
      <c r="Q161" s="6">
        <v>87.059775691699997</v>
      </c>
      <c r="R161" s="6">
        <v>87.059775691699997</v>
      </c>
      <c r="S161" s="6">
        <v>331.23500000000001</v>
      </c>
      <c r="T161" s="9">
        <f t="shared" si="6"/>
        <v>576.21469242704006</v>
      </c>
    </row>
    <row r="162" spans="1:20" x14ac:dyDescent="0.25">
      <c r="A162" s="6" t="str">
        <f t="shared" ref="A162:A194" si="8">"00216224"</f>
        <v>00216224</v>
      </c>
      <c r="B162" s="6" t="s">
        <v>95</v>
      </c>
      <c r="C162" s="6"/>
      <c r="D162" s="6" t="s">
        <v>246</v>
      </c>
      <c r="E162" s="6">
        <v>0</v>
      </c>
      <c r="F162" s="6">
        <v>0</v>
      </c>
      <c r="G162" s="6">
        <v>0</v>
      </c>
      <c r="H162" s="6">
        <v>1</v>
      </c>
      <c r="I162" s="6">
        <v>1</v>
      </c>
      <c r="J162" s="6">
        <v>2000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/>
      <c r="Q162" s="6">
        <v>0</v>
      </c>
      <c r="R162" s="6">
        <v>0</v>
      </c>
      <c r="S162" s="6">
        <v>0</v>
      </c>
      <c r="T162" s="9">
        <f t="shared" si="6"/>
        <v>2000</v>
      </c>
    </row>
    <row r="163" spans="1:20" x14ac:dyDescent="0.25">
      <c r="A163" s="6" t="str">
        <f t="shared" si="8"/>
        <v>00216224</v>
      </c>
      <c r="B163" s="6" t="s">
        <v>95</v>
      </c>
      <c r="C163" s="6"/>
      <c r="D163" s="6"/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/>
      <c r="Q163" s="6">
        <v>0</v>
      </c>
      <c r="R163" s="6">
        <v>0</v>
      </c>
      <c r="S163" s="6">
        <v>0</v>
      </c>
      <c r="T163" s="9">
        <f t="shared" si="6"/>
        <v>0</v>
      </c>
    </row>
    <row r="164" spans="1:20" x14ac:dyDescent="0.25">
      <c r="A164" s="6" t="str">
        <f t="shared" si="8"/>
        <v>00216224</v>
      </c>
      <c r="B164" s="6" t="s">
        <v>95</v>
      </c>
      <c r="C164" s="6">
        <v>14110</v>
      </c>
      <c r="D164" s="6" t="s">
        <v>328</v>
      </c>
      <c r="E164" s="6">
        <v>2195</v>
      </c>
      <c r="F164" s="6">
        <v>25478.397311674002</v>
      </c>
      <c r="G164" s="6">
        <v>23982.525096874</v>
      </c>
      <c r="H164" s="6">
        <v>0</v>
      </c>
      <c r="I164" s="6">
        <v>0</v>
      </c>
      <c r="J164" s="6">
        <v>0</v>
      </c>
      <c r="K164" s="6">
        <v>55.046199999999999</v>
      </c>
      <c r="L164" s="6">
        <v>1</v>
      </c>
      <c r="M164" s="6">
        <v>3663.45</v>
      </c>
      <c r="N164" s="6">
        <v>3322.61</v>
      </c>
      <c r="O164" s="6">
        <v>0</v>
      </c>
      <c r="P164" s="6">
        <v>0</v>
      </c>
      <c r="Q164" s="6">
        <v>360.34607650629999</v>
      </c>
      <c r="R164" s="6">
        <v>360.34607650629999</v>
      </c>
      <c r="S164" s="6">
        <v>973.61900000000003</v>
      </c>
      <c r="T164" s="9">
        <f t="shared" si="6"/>
        <v>28639.100173380299</v>
      </c>
    </row>
    <row r="165" spans="1:20" x14ac:dyDescent="0.25">
      <c r="A165" s="6" t="str">
        <f t="shared" si="8"/>
        <v>00216224</v>
      </c>
      <c r="B165" s="6" t="s">
        <v>95</v>
      </c>
      <c r="C165" s="6">
        <v>14210</v>
      </c>
      <c r="D165" s="6" t="s">
        <v>307</v>
      </c>
      <c r="E165" s="6">
        <v>2256</v>
      </c>
      <c r="F165" s="6">
        <v>25511.883164767001</v>
      </c>
      <c r="G165" s="6">
        <v>23830.111957551999</v>
      </c>
      <c r="H165" s="6">
        <v>0</v>
      </c>
      <c r="I165" s="6">
        <v>0</v>
      </c>
      <c r="J165" s="6">
        <v>0</v>
      </c>
      <c r="K165" s="6">
        <v>55.046199999999999</v>
      </c>
      <c r="L165" s="6">
        <v>0</v>
      </c>
      <c r="M165" s="6">
        <v>2791.73</v>
      </c>
      <c r="N165" s="6">
        <v>2512.56</v>
      </c>
      <c r="O165" s="6">
        <v>0</v>
      </c>
      <c r="P165" s="6">
        <v>0</v>
      </c>
      <c r="Q165" s="6">
        <v>149.6806432434</v>
      </c>
      <c r="R165" s="6">
        <v>149.6806432434</v>
      </c>
      <c r="S165" s="6">
        <v>283.512</v>
      </c>
      <c r="T165" s="9">
        <f t="shared" si="6"/>
        <v>26775.864600795398</v>
      </c>
    </row>
    <row r="166" spans="1:20" x14ac:dyDescent="0.25">
      <c r="A166" s="6" t="str">
        <f t="shared" si="8"/>
        <v>00216224</v>
      </c>
      <c r="B166" s="6" t="s">
        <v>95</v>
      </c>
      <c r="C166" s="6">
        <v>14220</v>
      </c>
      <c r="D166" s="6" t="s">
        <v>329</v>
      </c>
      <c r="E166" s="6">
        <v>1041</v>
      </c>
      <c r="F166" s="6">
        <v>9290.3022856208008</v>
      </c>
      <c r="G166" s="6">
        <v>8270.0539510841008</v>
      </c>
      <c r="H166" s="6">
        <v>0</v>
      </c>
      <c r="I166" s="6">
        <v>0</v>
      </c>
      <c r="J166" s="6">
        <v>0</v>
      </c>
      <c r="K166" s="6">
        <v>55.046199999999999</v>
      </c>
      <c r="L166" s="6">
        <v>0</v>
      </c>
      <c r="M166" s="6">
        <v>992.98299999999995</v>
      </c>
      <c r="N166" s="6">
        <v>893.68499999999995</v>
      </c>
      <c r="O166" s="6">
        <v>0</v>
      </c>
      <c r="P166" s="6">
        <v>0</v>
      </c>
      <c r="Q166" s="6">
        <v>1.6974304398</v>
      </c>
      <c r="R166" s="6">
        <v>1.6974304398</v>
      </c>
      <c r="S166" s="6">
        <v>2.4820000000000002</v>
      </c>
      <c r="T166" s="9">
        <f t="shared" si="6"/>
        <v>9167.9183815239012</v>
      </c>
    </row>
    <row r="167" spans="1:20" x14ac:dyDescent="0.25">
      <c r="A167" s="6" t="str">
        <f t="shared" si="8"/>
        <v>00216224</v>
      </c>
      <c r="B167" s="6" t="s">
        <v>95</v>
      </c>
      <c r="C167" s="6">
        <v>14230</v>
      </c>
      <c r="D167" s="6" t="s">
        <v>330</v>
      </c>
      <c r="E167" s="6">
        <v>1133</v>
      </c>
      <c r="F167" s="6">
        <v>13008.238648136001</v>
      </c>
      <c r="G167" s="6">
        <v>11315.726595332</v>
      </c>
      <c r="H167" s="6">
        <v>0</v>
      </c>
      <c r="I167" s="6">
        <v>0</v>
      </c>
      <c r="J167" s="6">
        <v>0</v>
      </c>
      <c r="K167" s="6">
        <v>55.046199999999999</v>
      </c>
      <c r="L167" s="6">
        <v>3</v>
      </c>
      <c r="M167" s="6">
        <v>1272.08</v>
      </c>
      <c r="N167" s="6">
        <v>1906.8</v>
      </c>
      <c r="O167" s="6">
        <v>0</v>
      </c>
      <c r="P167" s="6">
        <v>0</v>
      </c>
      <c r="Q167" s="6">
        <v>82.499209570199994</v>
      </c>
      <c r="R167" s="6">
        <v>82.499209570199994</v>
      </c>
      <c r="S167" s="6">
        <v>181.96299999999999</v>
      </c>
      <c r="T167" s="9">
        <f t="shared" si="6"/>
        <v>13486.988804902199</v>
      </c>
    </row>
    <row r="168" spans="1:20" x14ac:dyDescent="0.25">
      <c r="A168" s="6" t="str">
        <f t="shared" si="8"/>
        <v>00216224</v>
      </c>
      <c r="B168" s="6" t="s">
        <v>95</v>
      </c>
      <c r="C168" s="6">
        <v>14310</v>
      </c>
      <c r="D168" s="6" t="s">
        <v>310</v>
      </c>
      <c r="E168" s="6">
        <v>2640</v>
      </c>
      <c r="F168" s="6">
        <v>70854.983114023998</v>
      </c>
      <c r="G168" s="6">
        <v>77251.312260420993</v>
      </c>
      <c r="H168" s="6">
        <v>0</v>
      </c>
      <c r="I168" s="6">
        <v>0</v>
      </c>
      <c r="J168" s="6">
        <v>0</v>
      </c>
      <c r="K168" s="6">
        <v>55.046199999999999</v>
      </c>
      <c r="L168" s="6">
        <v>9</v>
      </c>
      <c r="M168" s="6">
        <v>11689.7</v>
      </c>
      <c r="N168" s="6">
        <v>12100</v>
      </c>
      <c r="O168" s="6">
        <v>560</v>
      </c>
      <c r="P168" s="6">
        <v>472.53000259398999</v>
      </c>
      <c r="Q168" s="6">
        <v>552.40112783810002</v>
      </c>
      <c r="R168" s="6">
        <v>1024.9311304322</v>
      </c>
      <c r="S168" s="6">
        <v>3715.88</v>
      </c>
      <c r="T168" s="9">
        <f t="shared" si="6"/>
        <v>94092.123390853201</v>
      </c>
    </row>
    <row r="169" spans="1:20" x14ac:dyDescent="0.25">
      <c r="A169" s="6" t="str">
        <f t="shared" si="8"/>
        <v>00216224</v>
      </c>
      <c r="B169" s="6" t="s">
        <v>95</v>
      </c>
      <c r="C169" s="6">
        <v>14330</v>
      </c>
      <c r="D169" s="6" t="s">
        <v>331</v>
      </c>
      <c r="E169" s="6">
        <v>651</v>
      </c>
      <c r="F169" s="6">
        <v>15252.345051744</v>
      </c>
      <c r="G169" s="6">
        <v>11668.843194655001</v>
      </c>
      <c r="H169" s="6">
        <v>0</v>
      </c>
      <c r="I169" s="6">
        <v>0</v>
      </c>
      <c r="J169" s="6">
        <v>0</v>
      </c>
      <c r="K169" s="6">
        <v>55.046199999999999</v>
      </c>
      <c r="L169" s="6">
        <v>2</v>
      </c>
      <c r="M169" s="6">
        <v>1524.25</v>
      </c>
      <c r="N169" s="6">
        <v>1675.17</v>
      </c>
      <c r="O169" s="6">
        <v>0</v>
      </c>
      <c r="P169" s="6">
        <v>0</v>
      </c>
      <c r="Q169" s="6">
        <v>349.52751382349999</v>
      </c>
      <c r="R169" s="6">
        <v>349.52751382349999</v>
      </c>
      <c r="S169" s="6">
        <v>1937.84</v>
      </c>
      <c r="T169" s="9">
        <f t="shared" si="6"/>
        <v>15631.3807084785</v>
      </c>
    </row>
    <row r="170" spans="1:20" x14ac:dyDescent="0.25">
      <c r="A170" s="6" t="str">
        <f t="shared" si="8"/>
        <v>00216224</v>
      </c>
      <c r="B170" s="6" t="s">
        <v>95</v>
      </c>
      <c r="C170" s="6">
        <v>14410</v>
      </c>
      <c r="D170" s="6" t="s">
        <v>311</v>
      </c>
      <c r="E170" s="6">
        <v>2085</v>
      </c>
      <c r="F170" s="6">
        <v>11972.679483885</v>
      </c>
      <c r="G170" s="6">
        <v>10840.919037400001</v>
      </c>
      <c r="H170" s="6">
        <v>0</v>
      </c>
      <c r="I170" s="6">
        <v>0</v>
      </c>
      <c r="J170" s="6">
        <v>0</v>
      </c>
      <c r="K170" s="6">
        <v>55.046199999999999</v>
      </c>
      <c r="L170" s="6">
        <v>0</v>
      </c>
      <c r="M170" s="6">
        <v>1280.26</v>
      </c>
      <c r="N170" s="6">
        <v>1152.23</v>
      </c>
      <c r="O170" s="6">
        <v>0</v>
      </c>
      <c r="P170" s="6">
        <v>0</v>
      </c>
      <c r="Q170" s="6">
        <v>4.8264287205</v>
      </c>
      <c r="R170" s="6">
        <v>4.8264287205</v>
      </c>
      <c r="S170" s="6">
        <v>516.65200000000004</v>
      </c>
      <c r="T170" s="9">
        <f t="shared" si="6"/>
        <v>12514.627466120501</v>
      </c>
    </row>
    <row r="171" spans="1:20" x14ac:dyDescent="0.25">
      <c r="A171" s="6" t="str">
        <f t="shared" si="8"/>
        <v>00216224</v>
      </c>
      <c r="B171" s="6" t="s">
        <v>95</v>
      </c>
      <c r="C171" s="6">
        <v>14510</v>
      </c>
      <c r="D171" s="6" t="s">
        <v>332</v>
      </c>
      <c r="E171" s="6">
        <v>206</v>
      </c>
      <c r="F171" s="6">
        <v>2270.2318900557002</v>
      </c>
      <c r="G171" s="6">
        <v>1451.6994283803001</v>
      </c>
      <c r="H171" s="6">
        <v>0</v>
      </c>
      <c r="I171" s="6">
        <v>0</v>
      </c>
      <c r="J171" s="6">
        <v>0</v>
      </c>
      <c r="K171" s="6">
        <v>55.046199999999999</v>
      </c>
      <c r="L171" s="6">
        <v>0</v>
      </c>
      <c r="M171" s="6">
        <v>142.43199999999999</v>
      </c>
      <c r="N171" s="6">
        <v>128.18899999999999</v>
      </c>
      <c r="O171" s="6">
        <v>0</v>
      </c>
      <c r="P171" s="6">
        <v>0</v>
      </c>
      <c r="Q171" s="6">
        <v>1.1861562109999999</v>
      </c>
      <c r="R171" s="6">
        <v>1.1861562109999999</v>
      </c>
      <c r="S171" s="6">
        <v>3.9220000000000002</v>
      </c>
      <c r="T171" s="9">
        <f t="shared" si="6"/>
        <v>1584.9965845913002</v>
      </c>
    </row>
    <row r="172" spans="1:20" x14ac:dyDescent="0.25">
      <c r="A172" s="6" t="str">
        <f t="shared" si="8"/>
        <v>00216224</v>
      </c>
      <c r="B172" s="6" t="s">
        <v>95</v>
      </c>
      <c r="C172" s="6">
        <v>14560</v>
      </c>
      <c r="D172" s="6" t="s">
        <v>333</v>
      </c>
      <c r="E172" s="6">
        <v>686</v>
      </c>
      <c r="F172" s="6">
        <v>7766.5875472417001</v>
      </c>
      <c r="G172" s="6">
        <v>5363.4990409707998</v>
      </c>
      <c r="H172" s="6">
        <v>0</v>
      </c>
      <c r="I172" s="6">
        <v>0</v>
      </c>
      <c r="J172" s="6">
        <v>0</v>
      </c>
      <c r="K172" s="6">
        <v>55.046199999999999</v>
      </c>
      <c r="L172" s="6">
        <v>0</v>
      </c>
      <c r="M172" s="6">
        <v>495.86599999999999</v>
      </c>
      <c r="N172" s="6">
        <v>446.279</v>
      </c>
      <c r="O172" s="6">
        <v>0</v>
      </c>
      <c r="P172" s="6">
        <v>0</v>
      </c>
      <c r="Q172" s="6">
        <v>17.751441226299999</v>
      </c>
      <c r="R172" s="6">
        <v>17.751441226299999</v>
      </c>
      <c r="S172" s="6">
        <v>46.298299999999998</v>
      </c>
      <c r="T172" s="9">
        <f t="shared" si="6"/>
        <v>5873.8277821970996</v>
      </c>
    </row>
    <row r="173" spans="1:20" x14ac:dyDescent="0.25">
      <c r="A173" s="6" t="str">
        <f t="shared" si="8"/>
        <v>00216224</v>
      </c>
      <c r="B173" s="6" t="s">
        <v>95</v>
      </c>
      <c r="C173" s="6">
        <v>14600</v>
      </c>
      <c r="D173" s="6" t="s">
        <v>334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/>
      <c r="Q173" s="6">
        <v>0</v>
      </c>
      <c r="R173" s="6">
        <v>0</v>
      </c>
      <c r="S173" s="6">
        <v>0</v>
      </c>
      <c r="T173" s="9">
        <f t="shared" si="6"/>
        <v>0</v>
      </c>
    </row>
    <row r="174" spans="1:20" x14ac:dyDescent="0.25">
      <c r="A174" s="6" t="str">
        <f t="shared" si="8"/>
        <v>00216224</v>
      </c>
      <c r="B174" s="6" t="s">
        <v>95</v>
      </c>
      <c r="C174" s="6">
        <v>14610</v>
      </c>
      <c r="D174" s="6" t="s">
        <v>274</v>
      </c>
      <c r="E174" s="6">
        <v>49</v>
      </c>
      <c r="F174" s="6">
        <v>903.73280617225998</v>
      </c>
      <c r="G174" s="6">
        <v>551.32016366974005</v>
      </c>
      <c r="H174" s="6">
        <v>0</v>
      </c>
      <c r="I174" s="6">
        <v>0</v>
      </c>
      <c r="J174" s="6">
        <v>0</v>
      </c>
      <c r="K174" s="6">
        <v>55.046199999999999</v>
      </c>
      <c r="L174" s="6">
        <v>0</v>
      </c>
      <c r="M174" s="6">
        <v>83.846000000000004</v>
      </c>
      <c r="N174" s="6">
        <v>75.461399999999998</v>
      </c>
      <c r="O174" s="6">
        <v>0</v>
      </c>
      <c r="P174" s="6">
        <v>0</v>
      </c>
      <c r="Q174" s="6">
        <v>319.42368722769999</v>
      </c>
      <c r="R174" s="6">
        <v>319.42368722769999</v>
      </c>
      <c r="S174" s="6">
        <v>575.30600000000004</v>
      </c>
      <c r="T174" s="9">
        <f t="shared" si="6"/>
        <v>1521.51125089744</v>
      </c>
    </row>
    <row r="175" spans="1:20" x14ac:dyDescent="0.25">
      <c r="A175" s="6" t="str">
        <f t="shared" si="8"/>
        <v>00216224</v>
      </c>
      <c r="B175" s="6" t="s">
        <v>95</v>
      </c>
      <c r="C175" s="6">
        <v>14620</v>
      </c>
      <c r="D175" s="6" t="s">
        <v>335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/>
      <c r="Q175" s="6">
        <v>0</v>
      </c>
      <c r="R175" s="6">
        <v>0</v>
      </c>
      <c r="S175" s="6">
        <v>0</v>
      </c>
      <c r="T175" s="9">
        <f t="shared" si="6"/>
        <v>0</v>
      </c>
    </row>
    <row r="176" spans="1:20" x14ac:dyDescent="0.25">
      <c r="A176" s="6" t="str">
        <f t="shared" si="8"/>
        <v>00216224</v>
      </c>
      <c r="B176" s="6" t="s">
        <v>95</v>
      </c>
      <c r="C176" s="6">
        <v>14630</v>
      </c>
      <c r="D176" s="6" t="s">
        <v>336</v>
      </c>
      <c r="E176" s="6">
        <v>1</v>
      </c>
      <c r="F176" s="6">
        <v>40</v>
      </c>
      <c r="G176" s="6">
        <v>44.319000244141002</v>
      </c>
      <c r="H176" s="6">
        <v>0</v>
      </c>
      <c r="I176" s="6">
        <v>0</v>
      </c>
      <c r="J176" s="6">
        <v>0</v>
      </c>
      <c r="K176" s="6">
        <v>55.046199999999999</v>
      </c>
      <c r="L176" s="6">
        <v>0</v>
      </c>
      <c r="M176" s="6">
        <v>4.4320000000000004</v>
      </c>
      <c r="N176" s="6">
        <v>3.9887999999999999</v>
      </c>
      <c r="O176" s="6">
        <v>0</v>
      </c>
      <c r="P176" s="6"/>
      <c r="Q176" s="6">
        <v>0</v>
      </c>
      <c r="R176" s="6">
        <v>0</v>
      </c>
      <c r="S176" s="6">
        <v>0</v>
      </c>
      <c r="T176" s="9">
        <f t="shared" si="6"/>
        <v>48.307800244140999</v>
      </c>
    </row>
    <row r="177" spans="1:20" x14ac:dyDescent="0.25">
      <c r="A177" s="6" t="str">
        <f t="shared" si="8"/>
        <v>00216224</v>
      </c>
      <c r="B177" s="6" t="s">
        <v>95</v>
      </c>
      <c r="C177" s="6">
        <v>14640</v>
      </c>
      <c r="D177" s="6" t="s">
        <v>337</v>
      </c>
      <c r="E177" s="6">
        <v>29</v>
      </c>
      <c r="F177" s="6">
        <v>409.39017827129999</v>
      </c>
      <c r="G177" s="6">
        <v>310.87372550941001</v>
      </c>
      <c r="H177" s="6">
        <v>0</v>
      </c>
      <c r="I177" s="6">
        <v>0</v>
      </c>
      <c r="J177" s="6">
        <v>0</v>
      </c>
      <c r="K177" s="6">
        <v>55.046199999999999</v>
      </c>
      <c r="L177" s="6">
        <v>0</v>
      </c>
      <c r="M177" s="6">
        <v>19.899000000000001</v>
      </c>
      <c r="N177" s="6">
        <v>17.909099999999999</v>
      </c>
      <c r="O177" s="6">
        <v>0</v>
      </c>
      <c r="P177" s="6"/>
      <c r="Q177" s="6">
        <v>0</v>
      </c>
      <c r="R177" s="6">
        <v>0</v>
      </c>
      <c r="S177" s="6">
        <v>0</v>
      </c>
      <c r="T177" s="9">
        <f t="shared" si="6"/>
        <v>328.78282550941003</v>
      </c>
    </row>
    <row r="178" spans="1:20" x14ac:dyDescent="0.25">
      <c r="A178" s="6" t="str">
        <f t="shared" si="8"/>
        <v>00216224</v>
      </c>
      <c r="B178" s="6" t="s">
        <v>95</v>
      </c>
      <c r="C178" s="6">
        <v>14650</v>
      </c>
      <c r="D178" s="6" t="s">
        <v>270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/>
      <c r="Q178" s="6">
        <v>0</v>
      </c>
      <c r="R178" s="6">
        <v>0</v>
      </c>
      <c r="S178" s="6">
        <v>0</v>
      </c>
      <c r="T178" s="9">
        <f t="shared" si="6"/>
        <v>0</v>
      </c>
    </row>
    <row r="179" spans="1:20" x14ac:dyDescent="0.25">
      <c r="A179" s="6" t="str">
        <f t="shared" si="8"/>
        <v>00216224</v>
      </c>
      <c r="B179" s="6" t="s">
        <v>95</v>
      </c>
      <c r="C179" s="6">
        <v>14660</v>
      </c>
      <c r="D179" s="6" t="s">
        <v>338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/>
      <c r="Q179" s="6">
        <v>0</v>
      </c>
      <c r="R179" s="6">
        <v>0</v>
      </c>
      <c r="S179" s="6">
        <v>0</v>
      </c>
      <c r="T179" s="9">
        <f t="shared" si="6"/>
        <v>0</v>
      </c>
    </row>
    <row r="180" spans="1:20" x14ac:dyDescent="0.25">
      <c r="A180" s="6" t="str">
        <f t="shared" si="8"/>
        <v>00216224</v>
      </c>
      <c r="B180" s="6" t="s">
        <v>95</v>
      </c>
      <c r="C180" s="6">
        <v>14670</v>
      </c>
      <c r="D180" s="6" t="s">
        <v>339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/>
      <c r="Q180" s="6">
        <v>0</v>
      </c>
      <c r="R180" s="6">
        <v>0</v>
      </c>
      <c r="S180" s="6">
        <v>0</v>
      </c>
      <c r="T180" s="9">
        <f t="shared" si="6"/>
        <v>0</v>
      </c>
    </row>
    <row r="181" spans="1:20" x14ac:dyDescent="0.25">
      <c r="A181" s="6" t="str">
        <f t="shared" si="8"/>
        <v>00216224</v>
      </c>
      <c r="B181" s="6" t="s">
        <v>95</v>
      </c>
      <c r="C181" s="6">
        <v>14680</v>
      </c>
      <c r="D181" s="6" t="s">
        <v>340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/>
      <c r="Q181" s="6">
        <v>0</v>
      </c>
      <c r="R181" s="6">
        <v>0</v>
      </c>
      <c r="S181" s="6">
        <v>0</v>
      </c>
      <c r="T181" s="9">
        <f t="shared" si="6"/>
        <v>0</v>
      </c>
    </row>
    <row r="182" spans="1:20" x14ac:dyDescent="0.25">
      <c r="A182" s="6" t="str">
        <f t="shared" si="8"/>
        <v>00216224</v>
      </c>
      <c r="B182" s="6" t="s">
        <v>95</v>
      </c>
      <c r="C182" s="6">
        <v>14690</v>
      </c>
      <c r="D182" s="6" t="s">
        <v>341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/>
      <c r="Q182" s="6">
        <v>0</v>
      </c>
      <c r="R182" s="6">
        <v>0</v>
      </c>
      <c r="S182" s="6">
        <v>0</v>
      </c>
      <c r="T182" s="9">
        <f t="shared" si="6"/>
        <v>0</v>
      </c>
    </row>
    <row r="183" spans="1:20" x14ac:dyDescent="0.25">
      <c r="A183" s="6" t="str">
        <f t="shared" si="8"/>
        <v>00216224</v>
      </c>
      <c r="B183" s="6" t="s">
        <v>95</v>
      </c>
      <c r="C183" s="6">
        <v>14700</v>
      </c>
      <c r="D183" s="6" t="s">
        <v>342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/>
      <c r="Q183" s="6">
        <v>0</v>
      </c>
      <c r="R183" s="6">
        <v>0</v>
      </c>
      <c r="S183" s="6">
        <v>0</v>
      </c>
      <c r="T183" s="9">
        <f t="shared" si="6"/>
        <v>0</v>
      </c>
    </row>
    <row r="184" spans="1:20" x14ac:dyDescent="0.25">
      <c r="A184" s="6" t="str">
        <f t="shared" si="8"/>
        <v>00216224</v>
      </c>
      <c r="B184" s="6" t="s">
        <v>95</v>
      </c>
      <c r="C184" s="6">
        <v>14710</v>
      </c>
      <c r="D184" s="6" t="s">
        <v>343</v>
      </c>
      <c r="E184" s="6">
        <v>15</v>
      </c>
      <c r="F184" s="6">
        <v>91.511000663041997</v>
      </c>
      <c r="G184" s="6">
        <v>92.033001720905006</v>
      </c>
      <c r="H184" s="6">
        <v>0</v>
      </c>
      <c r="I184" s="6">
        <v>0</v>
      </c>
      <c r="J184" s="6">
        <v>0</v>
      </c>
      <c r="K184" s="6">
        <v>55.046199999999999</v>
      </c>
      <c r="L184" s="6">
        <v>0</v>
      </c>
      <c r="M184" s="6">
        <v>25.966999999999999</v>
      </c>
      <c r="N184" s="6">
        <v>23.3703</v>
      </c>
      <c r="O184" s="6">
        <v>0</v>
      </c>
      <c r="P184" s="6">
        <v>0</v>
      </c>
      <c r="Q184" s="6">
        <v>196.3088529163</v>
      </c>
      <c r="R184" s="6">
        <v>196.3088529163</v>
      </c>
      <c r="S184" s="6">
        <v>199.678</v>
      </c>
      <c r="T184" s="9">
        <f t="shared" si="6"/>
        <v>511.390154637205</v>
      </c>
    </row>
    <row r="185" spans="1:20" x14ac:dyDescent="0.25">
      <c r="A185" s="6" t="str">
        <f t="shared" si="8"/>
        <v>00216224</v>
      </c>
      <c r="B185" s="6" t="s">
        <v>95</v>
      </c>
      <c r="C185" s="6">
        <v>14720</v>
      </c>
      <c r="D185" s="6" t="s">
        <v>344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/>
      <c r="Q185" s="6">
        <v>0</v>
      </c>
      <c r="R185" s="6">
        <v>0</v>
      </c>
      <c r="S185" s="6">
        <v>0</v>
      </c>
      <c r="T185" s="9">
        <f t="shared" si="6"/>
        <v>0</v>
      </c>
    </row>
    <row r="186" spans="1:20" x14ac:dyDescent="0.25">
      <c r="A186" s="6" t="str">
        <f t="shared" si="8"/>
        <v>00216224</v>
      </c>
      <c r="B186" s="6" t="s">
        <v>95</v>
      </c>
      <c r="C186" s="6">
        <v>14730</v>
      </c>
      <c r="D186" s="6" t="s">
        <v>345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/>
      <c r="Q186" s="6">
        <v>0</v>
      </c>
      <c r="R186" s="6">
        <v>0</v>
      </c>
      <c r="S186" s="6">
        <v>0</v>
      </c>
      <c r="T186" s="9">
        <f t="shared" si="6"/>
        <v>0</v>
      </c>
    </row>
    <row r="187" spans="1:20" x14ac:dyDescent="0.25">
      <c r="A187" s="6" t="str">
        <f t="shared" si="8"/>
        <v>00216224</v>
      </c>
      <c r="B187" s="6" t="s">
        <v>95</v>
      </c>
      <c r="C187" s="6">
        <v>14740</v>
      </c>
      <c r="D187" s="6" t="s">
        <v>346</v>
      </c>
      <c r="E187" s="6">
        <v>744</v>
      </c>
      <c r="F187" s="6">
        <v>23434.749340269998</v>
      </c>
      <c r="G187" s="6">
        <v>26192.423569292001</v>
      </c>
      <c r="H187" s="6">
        <v>0</v>
      </c>
      <c r="I187" s="6">
        <v>0</v>
      </c>
      <c r="J187" s="6">
        <v>0</v>
      </c>
      <c r="K187" s="6">
        <v>55.046199999999999</v>
      </c>
      <c r="L187" s="6">
        <v>3</v>
      </c>
      <c r="M187" s="6">
        <v>1161.1199999999999</v>
      </c>
      <c r="N187" s="6">
        <v>1833.91</v>
      </c>
      <c r="O187" s="6">
        <v>0</v>
      </c>
      <c r="P187" s="6">
        <v>0</v>
      </c>
      <c r="Q187" s="6">
        <v>341.42893003820001</v>
      </c>
      <c r="R187" s="6">
        <v>341.42893003820001</v>
      </c>
      <c r="S187" s="6">
        <v>677.63199999999995</v>
      </c>
      <c r="T187" s="9">
        <f t="shared" si="6"/>
        <v>29045.394499330203</v>
      </c>
    </row>
    <row r="188" spans="1:20" x14ac:dyDescent="0.25">
      <c r="A188" s="6" t="str">
        <f t="shared" si="8"/>
        <v>00216224</v>
      </c>
      <c r="B188" s="6" t="s">
        <v>95</v>
      </c>
      <c r="C188" s="6">
        <v>14750</v>
      </c>
      <c r="D188" s="6" t="s">
        <v>347</v>
      </c>
      <c r="E188" s="6">
        <v>14</v>
      </c>
      <c r="F188" s="6">
        <v>361.58208046538999</v>
      </c>
      <c r="G188" s="6">
        <v>256.61087546200002</v>
      </c>
      <c r="H188" s="6">
        <v>0</v>
      </c>
      <c r="I188" s="6">
        <v>0</v>
      </c>
      <c r="J188" s="6">
        <v>0</v>
      </c>
      <c r="K188" s="6">
        <v>55.046199999999999</v>
      </c>
      <c r="L188" s="6">
        <v>0</v>
      </c>
      <c r="M188" s="6">
        <v>14.974</v>
      </c>
      <c r="N188" s="6">
        <v>13.476599999999999</v>
      </c>
      <c r="O188" s="6">
        <v>0</v>
      </c>
      <c r="P188" s="6"/>
      <c r="Q188" s="6">
        <v>0</v>
      </c>
      <c r="R188" s="6">
        <v>0</v>
      </c>
      <c r="S188" s="6">
        <v>0</v>
      </c>
      <c r="T188" s="9">
        <f t="shared" si="6"/>
        <v>270.08747546200004</v>
      </c>
    </row>
    <row r="189" spans="1:20" x14ac:dyDescent="0.25">
      <c r="A189" s="6" t="str">
        <f t="shared" si="8"/>
        <v>00216224</v>
      </c>
      <c r="B189" s="6" t="s">
        <v>95</v>
      </c>
      <c r="C189" s="6">
        <v>14760</v>
      </c>
      <c r="D189" s="6" t="s">
        <v>348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/>
      <c r="Q189" s="6">
        <v>0</v>
      </c>
      <c r="R189" s="6">
        <v>0</v>
      </c>
      <c r="S189" s="6">
        <v>0</v>
      </c>
      <c r="T189" s="9">
        <f t="shared" si="6"/>
        <v>0</v>
      </c>
    </row>
    <row r="190" spans="1:20" x14ac:dyDescent="0.25">
      <c r="A190" s="6" t="str">
        <f t="shared" si="8"/>
        <v>00216224</v>
      </c>
      <c r="B190" s="6" t="s">
        <v>95</v>
      </c>
      <c r="C190" s="6">
        <v>14770</v>
      </c>
      <c r="D190" s="6" t="s">
        <v>349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/>
      <c r="Q190" s="6">
        <v>0</v>
      </c>
      <c r="R190" s="6">
        <v>0</v>
      </c>
      <c r="S190" s="6">
        <v>0</v>
      </c>
      <c r="T190" s="9">
        <f t="shared" si="6"/>
        <v>0</v>
      </c>
    </row>
    <row r="191" spans="1:20" x14ac:dyDescent="0.25">
      <c r="A191" s="6" t="str">
        <f t="shared" si="8"/>
        <v>00216224</v>
      </c>
      <c r="B191" s="6" t="s">
        <v>95</v>
      </c>
      <c r="C191" s="6">
        <v>14810</v>
      </c>
      <c r="D191" s="6" t="s">
        <v>258</v>
      </c>
      <c r="E191" s="6">
        <v>1</v>
      </c>
      <c r="F191" s="6">
        <v>40</v>
      </c>
      <c r="G191" s="6">
        <v>28.378000259398998</v>
      </c>
      <c r="H191" s="6">
        <v>0</v>
      </c>
      <c r="I191" s="6">
        <v>0</v>
      </c>
      <c r="J191" s="6">
        <v>0</v>
      </c>
      <c r="K191" s="6">
        <v>55.046199999999999</v>
      </c>
      <c r="L191" s="6">
        <v>0</v>
      </c>
      <c r="M191" s="6">
        <v>2.8380000000000001</v>
      </c>
      <c r="N191" s="6">
        <v>2.5541999999999998</v>
      </c>
      <c r="O191" s="6">
        <v>0</v>
      </c>
      <c r="P191" s="6">
        <v>0</v>
      </c>
      <c r="Q191" s="6">
        <v>61.352907464200001</v>
      </c>
      <c r="R191" s="6">
        <v>61.352907464200001</v>
      </c>
      <c r="S191" s="6">
        <v>0</v>
      </c>
      <c r="T191" s="9">
        <f t="shared" si="6"/>
        <v>92.285107723598998</v>
      </c>
    </row>
    <row r="192" spans="1:20" x14ac:dyDescent="0.25">
      <c r="A192" s="6" t="str">
        <f t="shared" si="8"/>
        <v>00216224</v>
      </c>
      <c r="B192" s="6" t="s">
        <v>95</v>
      </c>
      <c r="C192" s="6">
        <v>14830</v>
      </c>
      <c r="D192" s="6" t="s">
        <v>350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/>
      <c r="Q192" s="6">
        <v>0</v>
      </c>
      <c r="R192" s="6">
        <v>0</v>
      </c>
      <c r="S192" s="6">
        <v>0</v>
      </c>
      <c r="T192" s="9">
        <f t="shared" si="6"/>
        <v>0</v>
      </c>
    </row>
    <row r="193" spans="1:20" x14ac:dyDescent="0.25">
      <c r="A193" s="6" t="str">
        <f t="shared" si="8"/>
        <v>00216224</v>
      </c>
      <c r="B193" s="6" t="s">
        <v>95</v>
      </c>
      <c r="C193" s="6">
        <v>14840</v>
      </c>
      <c r="D193" s="6" t="s">
        <v>351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/>
      <c r="Q193" s="6">
        <v>0</v>
      </c>
      <c r="R193" s="6">
        <v>0</v>
      </c>
      <c r="S193" s="6">
        <v>0</v>
      </c>
      <c r="T193" s="9">
        <f t="shared" si="6"/>
        <v>0</v>
      </c>
    </row>
    <row r="194" spans="1:20" x14ac:dyDescent="0.25">
      <c r="A194" s="6" t="str">
        <f t="shared" si="8"/>
        <v>00216224</v>
      </c>
      <c r="B194" s="6" t="s">
        <v>95</v>
      </c>
      <c r="C194" s="6" t="s">
        <v>352</v>
      </c>
      <c r="D194" s="6" t="s">
        <v>257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/>
      <c r="Q194" s="6">
        <v>0</v>
      </c>
      <c r="R194" s="6">
        <v>0</v>
      </c>
      <c r="S194" s="6">
        <v>0</v>
      </c>
      <c r="T194" s="9">
        <f t="shared" si="6"/>
        <v>0</v>
      </c>
    </row>
    <row r="195" spans="1:20" x14ac:dyDescent="0.25">
      <c r="A195" s="6" t="str">
        <f>"00209805"</f>
        <v>00209805</v>
      </c>
      <c r="B195" s="6" t="s">
        <v>96</v>
      </c>
      <c r="C195" s="6"/>
      <c r="D195" s="6"/>
      <c r="E195" s="6">
        <v>299</v>
      </c>
      <c r="F195" s="6">
        <v>4167.9581089859003</v>
      </c>
      <c r="G195" s="6">
        <v>3984.2974139866001</v>
      </c>
      <c r="H195" s="6">
        <v>0</v>
      </c>
      <c r="I195" s="6">
        <v>0</v>
      </c>
      <c r="J195" s="6">
        <v>0</v>
      </c>
      <c r="K195" s="6">
        <v>0.8</v>
      </c>
      <c r="L195" s="6">
        <v>1</v>
      </c>
      <c r="M195" s="6">
        <v>486.09800000000001</v>
      </c>
      <c r="N195" s="6">
        <v>727.08</v>
      </c>
      <c r="O195" s="6">
        <v>0</v>
      </c>
      <c r="P195" s="6">
        <v>0</v>
      </c>
      <c r="Q195" s="6">
        <v>195.6544219033</v>
      </c>
      <c r="R195" s="6">
        <v>195.6544219033</v>
      </c>
      <c r="S195" s="6">
        <v>362.80399999999997</v>
      </c>
      <c r="T195" s="9">
        <f t="shared" si="6"/>
        <v>5269.8358358899004</v>
      </c>
    </row>
    <row r="196" spans="1:20" x14ac:dyDescent="0.25">
      <c r="A196" s="6" t="str">
        <f>"67985921"</f>
        <v>67985921</v>
      </c>
      <c r="B196" s="6" t="s">
        <v>97</v>
      </c>
      <c r="C196" s="6"/>
      <c r="D196" s="6"/>
      <c r="E196" s="6">
        <v>276</v>
      </c>
      <c r="F196" s="6">
        <v>3647.8462306508</v>
      </c>
      <c r="G196" s="6">
        <v>3392.4225438044</v>
      </c>
      <c r="H196" s="6">
        <v>0</v>
      </c>
      <c r="I196" s="6">
        <v>0</v>
      </c>
      <c r="J196" s="6">
        <v>0</v>
      </c>
      <c r="K196" s="6">
        <v>3</v>
      </c>
      <c r="L196" s="6">
        <v>0</v>
      </c>
      <c r="M196" s="6">
        <v>393.16300000000001</v>
      </c>
      <c r="N196" s="6">
        <v>353.84699999999998</v>
      </c>
      <c r="O196" s="6">
        <v>0</v>
      </c>
      <c r="P196" s="6"/>
      <c r="Q196" s="6">
        <v>0</v>
      </c>
      <c r="R196" s="6">
        <v>0</v>
      </c>
      <c r="S196" s="6">
        <v>0</v>
      </c>
      <c r="T196" s="9">
        <f t="shared" si="6"/>
        <v>3746.2695438044002</v>
      </c>
    </row>
    <row r="197" spans="1:20" x14ac:dyDescent="0.25">
      <c r="A197" s="6" t="str">
        <f>"67985840"</f>
        <v>67985840</v>
      </c>
      <c r="B197" s="6" t="s">
        <v>98</v>
      </c>
      <c r="C197" s="6"/>
      <c r="D197" s="6"/>
      <c r="E197" s="6">
        <v>682</v>
      </c>
      <c r="F197" s="6">
        <v>17536.763266098002</v>
      </c>
      <c r="G197" s="6">
        <v>16351.786590821001</v>
      </c>
      <c r="H197" s="6">
        <v>2</v>
      </c>
      <c r="I197" s="6">
        <v>2</v>
      </c>
      <c r="J197" s="6">
        <v>4000</v>
      </c>
      <c r="K197" s="6">
        <v>5.2414300000000003</v>
      </c>
      <c r="L197" s="6">
        <v>5</v>
      </c>
      <c r="M197" s="6">
        <v>2040.36</v>
      </c>
      <c r="N197" s="6">
        <v>2594.67</v>
      </c>
      <c r="O197" s="6">
        <v>0</v>
      </c>
      <c r="P197" s="6"/>
      <c r="Q197" s="6">
        <v>0</v>
      </c>
      <c r="R197" s="6">
        <v>0</v>
      </c>
      <c r="S197" s="6">
        <v>82.195999999999998</v>
      </c>
      <c r="T197" s="9">
        <f t="shared" ref="T197:T260" si="9">G197+J197+N197+R197+S197</f>
        <v>23028.652590820999</v>
      </c>
    </row>
    <row r="198" spans="1:20" x14ac:dyDescent="0.25">
      <c r="A198" s="6" t="str">
        <f>"25870807"</f>
        <v>25870807</v>
      </c>
      <c r="B198" s="6" t="s">
        <v>99</v>
      </c>
      <c r="C198" s="6"/>
      <c r="D198" s="6"/>
      <c r="E198" s="6">
        <v>39</v>
      </c>
      <c r="F198" s="6">
        <v>183.93207164946</v>
      </c>
      <c r="G198" s="6">
        <v>193.66587365411999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200.5422035313</v>
      </c>
      <c r="R198" s="6">
        <v>200.5422035313</v>
      </c>
      <c r="S198" s="6">
        <v>1205.23</v>
      </c>
      <c r="T198" s="9">
        <f t="shared" si="9"/>
        <v>1599.4380771854201</v>
      </c>
    </row>
    <row r="199" spans="1:20" x14ac:dyDescent="0.25">
      <c r="A199" s="6" t="str">
        <f>"28676092"</f>
        <v>28676092</v>
      </c>
      <c r="B199" s="6" t="s">
        <v>100</v>
      </c>
      <c r="C199" s="6"/>
      <c r="D199" s="6"/>
      <c r="E199" s="6">
        <v>12</v>
      </c>
      <c r="F199" s="6">
        <v>280.97531763414003</v>
      </c>
      <c r="G199" s="6">
        <v>196.94034303708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60</v>
      </c>
      <c r="P199" s="6">
        <v>60</v>
      </c>
      <c r="Q199" s="6">
        <v>289.52437032350002</v>
      </c>
      <c r="R199" s="6">
        <v>349.52437032350002</v>
      </c>
      <c r="S199" s="6">
        <v>1783.76</v>
      </c>
      <c r="T199" s="9">
        <f t="shared" si="9"/>
        <v>2330.2247133605802</v>
      </c>
    </row>
    <row r="200" spans="1:20" x14ac:dyDescent="0.25">
      <c r="A200" s="6" t="str">
        <f t="shared" ref="A200:A216" si="10">"62156489"</f>
        <v>62156489</v>
      </c>
      <c r="B200" s="6" t="s">
        <v>101</v>
      </c>
      <c r="C200" s="6"/>
      <c r="D200" s="6" t="s">
        <v>246</v>
      </c>
      <c r="E200" s="6">
        <v>3</v>
      </c>
      <c r="F200" s="6">
        <v>35.696999549866</v>
      </c>
      <c r="G200" s="6">
        <v>41.323000431060997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/>
      <c r="Q200" s="6">
        <v>0</v>
      </c>
      <c r="R200" s="6">
        <v>0</v>
      </c>
      <c r="S200" s="6">
        <v>0</v>
      </c>
      <c r="T200" s="9">
        <f t="shared" si="9"/>
        <v>41.323000431060997</v>
      </c>
    </row>
    <row r="201" spans="1:20" x14ac:dyDescent="0.25">
      <c r="A201" s="6" t="str">
        <f t="shared" si="10"/>
        <v>62156489</v>
      </c>
      <c r="B201" s="6" t="s">
        <v>101</v>
      </c>
      <c r="C201" s="6"/>
      <c r="D201" s="6"/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12.424200000000001</v>
      </c>
      <c r="L201" s="6">
        <v>0</v>
      </c>
      <c r="M201" s="6">
        <v>6.2919999999999998</v>
      </c>
      <c r="N201" s="6">
        <v>5.6627999999999998</v>
      </c>
      <c r="O201" s="6">
        <v>0</v>
      </c>
      <c r="P201" s="6"/>
      <c r="Q201" s="6">
        <v>0</v>
      </c>
      <c r="R201" s="6">
        <v>0</v>
      </c>
      <c r="S201" s="6">
        <v>0</v>
      </c>
      <c r="T201" s="9">
        <f t="shared" si="9"/>
        <v>5.6627999999999998</v>
      </c>
    </row>
    <row r="202" spans="1:20" x14ac:dyDescent="0.25">
      <c r="A202" s="6" t="str">
        <f t="shared" si="10"/>
        <v>62156489</v>
      </c>
      <c r="B202" s="6" t="s">
        <v>101</v>
      </c>
      <c r="C202" s="6">
        <v>43110</v>
      </c>
      <c r="D202" s="6" t="s">
        <v>260</v>
      </c>
      <c r="E202" s="6">
        <v>700</v>
      </c>
      <c r="F202" s="6">
        <v>9159.7583644873994</v>
      </c>
      <c r="G202" s="6">
        <v>7397.7915983415996</v>
      </c>
      <c r="H202" s="6">
        <v>0</v>
      </c>
      <c r="I202" s="6">
        <v>0</v>
      </c>
      <c r="J202" s="6">
        <v>0</v>
      </c>
      <c r="K202" s="6">
        <v>12.424200000000001</v>
      </c>
      <c r="L202" s="6">
        <v>0</v>
      </c>
      <c r="M202" s="6">
        <v>744.51900000000001</v>
      </c>
      <c r="N202" s="6">
        <v>670.06700000000001</v>
      </c>
      <c r="O202" s="6">
        <v>0</v>
      </c>
      <c r="P202" s="6">
        <v>0</v>
      </c>
      <c r="Q202" s="6">
        <v>9.9391710092000007</v>
      </c>
      <c r="R202" s="6">
        <v>9.9391710092000007</v>
      </c>
      <c r="S202" s="6">
        <v>176.78399999999999</v>
      </c>
      <c r="T202" s="9">
        <f t="shared" si="9"/>
        <v>8254.5817693507997</v>
      </c>
    </row>
    <row r="203" spans="1:20" x14ac:dyDescent="0.25">
      <c r="A203" s="6" t="str">
        <f t="shared" si="10"/>
        <v>62156489</v>
      </c>
      <c r="B203" s="6" t="s">
        <v>101</v>
      </c>
      <c r="C203" s="6">
        <v>43210</v>
      </c>
      <c r="D203" s="6" t="s">
        <v>353</v>
      </c>
      <c r="E203" s="6">
        <v>1437</v>
      </c>
      <c r="F203" s="6">
        <v>21474.221661055999</v>
      </c>
      <c r="G203" s="6">
        <v>22388.160126851999</v>
      </c>
      <c r="H203" s="6">
        <v>0</v>
      </c>
      <c r="I203" s="6">
        <v>0</v>
      </c>
      <c r="J203" s="6">
        <v>0</v>
      </c>
      <c r="K203" s="6">
        <v>12.424200000000001</v>
      </c>
      <c r="L203" s="6">
        <v>0</v>
      </c>
      <c r="M203" s="6">
        <v>2232.2399999999998</v>
      </c>
      <c r="N203" s="6">
        <v>2009.02</v>
      </c>
      <c r="O203" s="6">
        <v>10</v>
      </c>
      <c r="P203" s="6">
        <v>10</v>
      </c>
      <c r="Q203" s="6">
        <v>603.99892301570003</v>
      </c>
      <c r="R203" s="6">
        <v>613.99892301570003</v>
      </c>
      <c r="S203" s="6">
        <v>1604.95</v>
      </c>
      <c r="T203" s="9">
        <f t="shared" si="9"/>
        <v>26616.129049867701</v>
      </c>
    </row>
    <row r="204" spans="1:20" x14ac:dyDescent="0.25">
      <c r="A204" s="6" t="str">
        <f t="shared" si="10"/>
        <v>62156489</v>
      </c>
      <c r="B204" s="6" t="s">
        <v>101</v>
      </c>
      <c r="C204" s="6">
        <v>43310</v>
      </c>
      <c r="D204" s="6" t="s">
        <v>354</v>
      </c>
      <c r="E204" s="6">
        <v>149</v>
      </c>
      <c r="F204" s="6">
        <v>1888.3597172302</v>
      </c>
      <c r="G204" s="6">
        <v>1379.6998319949</v>
      </c>
      <c r="H204" s="6">
        <v>0</v>
      </c>
      <c r="I204" s="6">
        <v>0</v>
      </c>
      <c r="J204" s="6">
        <v>0</v>
      </c>
      <c r="K204" s="6">
        <v>12.424200000000001</v>
      </c>
      <c r="L204" s="6">
        <v>0</v>
      </c>
      <c r="M204" s="6">
        <v>86.960999999999999</v>
      </c>
      <c r="N204" s="6">
        <v>78.264899999999997</v>
      </c>
      <c r="O204" s="6">
        <v>0</v>
      </c>
      <c r="P204" s="6"/>
      <c r="Q204" s="6">
        <v>0</v>
      </c>
      <c r="R204" s="6">
        <v>0</v>
      </c>
      <c r="S204" s="6">
        <v>2.306</v>
      </c>
      <c r="T204" s="9">
        <f t="shared" si="9"/>
        <v>1460.2707319949</v>
      </c>
    </row>
    <row r="205" spans="1:20" x14ac:dyDescent="0.25">
      <c r="A205" s="6" t="str">
        <f t="shared" si="10"/>
        <v>62156489</v>
      </c>
      <c r="B205" s="6" t="s">
        <v>101</v>
      </c>
      <c r="C205" s="6">
        <v>43410</v>
      </c>
      <c r="D205" s="6" t="s">
        <v>355</v>
      </c>
      <c r="E205" s="6">
        <v>920</v>
      </c>
      <c r="F205" s="6">
        <v>15717.669469091999</v>
      </c>
      <c r="G205" s="6">
        <v>15539.646529858001</v>
      </c>
      <c r="H205" s="6">
        <v>0</v>
      </c>
      <c r="I205" s="6">
        <v>0</v>
      </c>
      <c r="J205" s="6">
        <v>0</v>
      </c>
      <c r="K205" s="6">
        <v>12.424200000000001</v>
      </c>
      <c r="L205" s="6">
        <v>1</v>
      </c>
      <c r="M205" s="6">
        <v>1696.14</v>
      </c>
      <c r="N205" s="6">
        <v>1652.25</v>
      </c>
      <c r="O205" s="6">
        <v>20</v>
      </c>
      <c r="P205" s="6">
        <v>20</v>
      </c>
      <c r="Q205" s="6">
        <v>276.02673068140001</v>
      </c>
      <c r="R205" s="6">
        <v>296.02673068140001</v>
      </c>
      <c r="S205" s="6">
        <v>2103.19</v>
      </c>
      <c r="T205" s="9">
        <f t="shared" si="9"/>
        <v>19591.113260539398</v>
      </c>
    </row>
    <row r="206" spans="1:20" x14ac:dyDescent="0.25">
      <c r="A206" s="6" t="str">
        <f t="shared" si="10"/>
        <v>62156489</v>
      </c>
      <c r="B206" s="6" t="s">
        <v>101</v>
      </c>
      <c r="C206" s="6">
        <v>43510</v>
      </c>
      <c r="D206" s="6" t="s">
        <v>356</v>
      </c>
      <c r="E206" s="6">
        <v>315</v>
      </c>
      <c r="F206" s="6">
        <v>3212.0326808576001</v>
      </c>
      <c r="G206" s="6">
        <v>3231.9743871323999</v>
      </c>
      <c r="H206" s="6">
        <v>0</v>
      </c>
      <c r="I206" s="6">
        <v>0</v>
      </c>
      <c r="J206" s="6">
        <v>0</v>
      </c>
      <c r="K206" s="6">
        <v>12.424200000000001</v>
      </c>
      <c r="L206" s="6">
        <v>0</v>
      </c>
      <c r="M206" s="6">
        <v>437.56700000000001</v>
      </c>
      <c r="N206" s="6">
        <v>393.81</v>
      </c>
      <c r="O206" s="6">
        <v>0</v>
      </c>
      <c r="P206" s="6">
        <v>0</v>
      </c>
      <c r="Q206" s="6">
        <v>307.58257608709999</v>
      </c>
      <c r="R206" s="6">
        <v>307.58257608709999</v>
      </c>
      <c r="S206" s="6">
        <v>1029.3</v>
      </c>
      <c r="T206" s="9">
        <f t="shared" si="9"/>
        <v>4962.6669632194998</v>
      </c>
    </row>
    <row r="207" spans="1:20" x14ac:dyDescent="0.25">
      <c r="A207" s="6" t="str">
        <f t="shared" si="10"/>
        <v>62156489</v>
      </c>
      <c r="B207" s="6" t="s">
        <v>101</v>
      </c>
      <c r="C207" s="6">
        <v>43610</v>
      </c>
      <c r="D207" s="6" t="s">
        <v>357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/>
      <c r="Q207" s="6">
        <v>0</v>
      </c>
      <c r="R207" s="6">
        <v>0</v>
      </c>
      <c r="S207" s="6">
        <v>0</v>
      </c>
      <c r="T207" s="9">
        <f t="shared" si="9"/>
        <v>0</v>
      </c>
    </row>
    <row r="208" spans="1:20" x14ac:dyDescent="0.25">
      <c r="A208" s="6" t="str">
        <f t="shared" si="10"/>
        <v>62156489</v>
      </c>
      <c r="B208" s="6" t="s">
        <v>101</v>
      </c>
      <c r="C208" s="6">
        <v>43620</v>
      </c>
      <c r="D208" s="6" t="s">
        <v>274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/>
      <c r="Q208" s="6">
        <v>0</v>
      </c>
      <c r="R208" s="6">
        <v>0</v>
      </c>
      <c r="S208" s="6">
        <v>0</v>
      </c>
      <c r="T208" s="9">
        <f t="shared" si="9"/>
        <v>0</v>
      </c>
    </row>
    <row r="209" spans="1:20" x14ac:dyDescent="0.25">
      <c r="A209" s="6" t="str">
        <f t="shared" si="10"/>
        <v>62156489</v>
      </c>
      <c r="B209" s="6" t="s">
        <v>101</v>
      </c>
      <c r="C209" s="6">
        <v>43630</v>
      </c>
      <c r="D209" s="6" t="s">
        <v>358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/>
      <c r="Q209" s="6">
        <v>0</v>
      </c>
      <c r="R209" s="6">
        <v>0</v>
      </c>
      <c r="S209" s="6">
        <v>0</v>
      </c>
      <c r="T209" s="9">
        <f t="shared" si="9"/>
        <v>0</v>
      </c>
    </row>
    <row r="210" spans="1:20" x14ac:dyDescent="0.25">
      <c r="A210" s="6" t="str">
        <f t="shared" si="10"/>
        <v>62156489</v>
      </c>
      <c r="B210" s="6" t="s">
        <v>101</v>
      </c>
      <c r="C210" s="6">
        <v>43640</v>
      </c>
      <c r="D210" s="6" t="s">
        <v>359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/>
      <c r="Q210" s="6">
        <v>0</v>
      </c>
      <c r="R210" s="6">
        <v>0</v>
      </c>
      <c r="S210" s="6">
        <v>0</v>
      </c>
      <c r="T210" s="9">
        <f t="shared" si="9"/>
        <v>0</v>
      </c>
    </row>
    <row r="211" spans="1:20" x14ac:dyDescent="0.25">
      <c r="A211" s="6" t="str">
        <f t="shared" si="10"/>
        <v>62156489</v>
      </c>
      <c r="B211" s="6" t="s">
        <v>101</v>
      </c>
      <c r="C211" s="6">
        <v>43650</v>
      </c>
      <c r="D211" s="6" t="s">
        <v>360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/>
      <c r="Q211" s="6">
        <v>0</v>
      </c>
      <c r="R211" s="6">
        <v>0</v>
      </c>
      <c r="S211" s="6">
        <v>0</v>
      </c>
      <c r="T211" s="9">
        <f t="shared" si="9"/>
        <v>0</v>
      </c>
    </row>
    <row r="212" spans="1:20" x14ac:dyDescent="0.25">
      <c r="A212" s="6" t="str">
        <f t="shared" si="10"/>
        <v>62156489</v>
      </c>
      <c r="B212" s="6" t="s">
        <v>101</v>
      </c>
      <c r="C212" s="6">
        <v>43660</v>
      </c>
      <c r="D212" s="6" t="s">
        <v>361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12.424200000000001</v>
      </c>
      <c r="L212" s="6">
        <v>0</v>
      </c>
      <c r="M212" s="6">
        <v>10.679</v>
      </c>
      <c r="N212" s="6">
        <v>9.6111000000000004</v>
      </c>
      <c r="O212" s="6">
        <v>0</v>
      </c>
      <c r="P212" s="6">
        <v>0</v>
      </c>
      <c r="Q212" s="6">
        <v>7.6486624639</v>
      </c>
      <c r="R212" s="6">
        <v>7.6486624639</v>
      </c>
      <c r="S212" s="6">
        <v>101.604</v>
      </c>
      <c r="T212" s="9">
        <f t="shared" si="9"/>
        <v>118.8637624639</v>
      </c>
    </row>
    <row r="213" spans="1:20" x14ac:dyDescent="0.25">
      <c r="A213" s="6" t="str">
        <f t="shared" si="10"/>
        <v>62156489</v>
      </c>
      <c r="B213" s="6" t="s">
        <v>101</v>
      </c>
      <c r="C213" s="6">
        <v>43670</v>
      </c>
      <c r="D213" s="6" t="s">
        <v>362</v>
      </c>
      <c r="E213" s="6">
        <v>54</v>
      </c>
      <c r="F213" s="6">
        <v>494.46711461169002</v>
      </c>
      <c r="G213" s="6">
        <v>420.86085970350001</v>
      </c>
      <c r="H213" s="6">
        <v>0</v>
      </c>
      <c r="I213" s="6">
        <v>0</v>
      </c>
      <c r="J213" s="6">
        <v>0</v>
      </c>
      <c r="K213" s="6">
        <v>12.424200000000001</v>
      </c>
      <c r="L213" s="6">
        <v>0</v>
      </c>
      <c r="M213" s="6">
        <v>29.581</v>
      </c>
      <c r="N213" s="6">
        <v>26.622900000000001</v>
      </c>
      <c r="O213" s="6">
        <v>0</v>
      </c>
      <c r="P213" s="6"/>
      <c r="Q213" s="6">
        <v>0</v>
      </c>
      <c r="R213" s="6">
        <v>0</v>
      </c>
      <c r="S213" s="6">
        <v>0</v>
      </c>
      <c r="T213" s="9">
        <f t="shared" si="9"/>
        <v>447.48375970350003</v>
      </c>
    </row>
    <row r="214" spans="1:20" x14ac:dyDescent="0.25">
      <c r="A214" s="6" t="str">
        <f t="shared" si="10"/>
        <v>62156489</v>
      </c>
      <c r="B214" s="6" t="s">
        <v>101</v>
      </c>
      <c r="C214" s="6">
        <v>43680</v>
      </c>
      <c r="D214" s="6" t="s">
        <v>363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/>
      <c r="Q214" s="6">
        <v>0</v>
      </c>
      <c r="R214" s="6">
        <v>0</v>
      </c>
      <c r="S214" s="6">
        <v>0</v>
      </c>
      <c r="T214" s="9">
        <f t="shared" si="9"/>
        <v>0</v>
      </c>
    </row>
    <row r="215" spans="1:20" x14ac:dyDescent="0.25">
      <c r="A215" s="6" t="str">
        <f t="shared" si="10"/>
        <v>62156489</v>
      </c>
      <c r="B215" s="6" t="s">
        <v>101</v>
      </c>
      <c r="C215" s="6">
        <v>43810</v>
      </c>
      <c r="D215" s="6" t="s">
        <v>258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/>
      <c r="Q215" s="6">
        <v>0</v>
      </c>
      <c r="R215" s="6">
        <v>0</v>
      </c>
      <c r="S215" s="6">
        <v>0</v>
      </c>
      <c r="T215" s="9">
        <f t="shared" si="9"/>
        <v>0</v>
      </c>
    </row>
    <row r="216" spans="1:20" x14ac:dyDescent="0.25">
      <c r="A216" s="6" t="str">
        <f t="shared" si="10"/>
        <v>62156489</v>
      </c>
      <c r="B216" s="6" t="s">
        <v>101</v>
      </c>
      <c r="C216" s="6" t="s">
        <v>364</v>
      </c>
      <c r="D216" s="6" t="s">
        <v>257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/>
      <c r="Q216" s="6">
        <v>0</v>
      </c>
      <c r="R216" s="6">
        <v>0</v>
      </c>
      <c r="S216" s="6">
        <v>0</v>
      </c>
      <c r="T216" s="9">
        <f t="shared" si="9"/>
        <v>0</v>
      </c>
    </row>
    <row r="217" spans="1:20" x14ac:dyDescent="0.25">
      <c r="A217" s="6" t="str">
        <f>"24839523"</f>
        <v>24839523</v>
      </c>
      <c r="B217" s="6" t="s">
        <v>102</v>
      </c>
      <c r="C217" s="6"/>
      <c r="D217" s="6"/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/>
      <c r="Q217" s="6">
        <v>0</v>
      </c>
      <c r="R217" s="6">
        <v>0</v>
      </c>
      <c r="S217" s="6">
        <v>4.2169999999999996</v>
      </c>
      <c r="T217" s="9">
        <f t="shared" si="9"/>
        <v>4.2169999999999996</v>
      </c>
    </row>
    <row r="218" spans="1:20" x14ac:dyDescent="0.25">
      <c r="A218" s="6" t="str">
        <f>"26482789"</f>
        <v>26482789</v>
      </c>
      <c r="B218" s="6" t="s">
        <v>103</v>
      </c>
      <c r="C218" s="6"/>
      <c r="D218" s="6"/>
      <c r="E218" s="6">
        <v>353</v>
      </c>
      <c r="F218" s="6">
        <v>4659.9542575953001</v>
      </c>
      <c r="G218" s="6">
        <v>4149.9278339788998</v>
      </c>
      <c r="H218" s="6">
        <v>0</v>
      </c>
      <c r="I218" s="6">
        <v>0</v>
      </c>
      <c r="J218" s="6">
        <v>0</v>
      </c>
      <c r="K218" s="6">
        <v>1</v>
      </c>
      <c r="L218" s="6">
        <v>0</v>
      </c>
      <c r="M218" s="6">
        <v>286.791</v>
      </c>
      <c r="N218" s="6">
        <v>258.11200000000002</v>
      </c>
      <c r="O218" s="6">
        <v>0</v>
      </c>
      <c r="P218" s="6"/>
      <c r="Q218" s="6">
        <v>0</v>
      </c>
      <c r="R218" s="6">
        <v>0</v>
      </c>
      <c r="S218" s="6">
        <v>0</v>
      </c>
      <c r="T218" s="9">
        <f t="shared" si="9"/>
        <v>4408.0398339788999</v>
      </c>
    </row>
    <row r="219" spans="1:20" x14ac:dyDescent="0.25">
      <c r="A219" s="6" t="str">
        <f>"61388971"</f>
        <v>61388971</v>
      </c>
      <c r="B219" s="6" t="s">
        <v>104</v>
      </c>
      <c r="C219" s="6"/>
      <c r="D219" s="6"/>
      <c r="E219" s="6">
        <v>964</v>
      </c>
      <c r="F219" s="6">
        <v>30847.244668570998</v>
      </c>
      <c r="G219" s="6">
        <v>33373.601246817001</v>
      </c>
      <c r="H219" s="6">
        <v>0</v>
      </c>
      <c r="I219" s="6">
        <v>0</v>
      </c>
      <c r="J219" s="6">
        <v>0</v>
      </c>
      <c r="K219" s="6">
        <v>16.065300000000001</v>
      </c>
      <c r="L219" s="6">
        <v>5</v>
      </c>
      <c r="M219" s="6">
        <v>4060.79</v>
      </c>
      <c r="N219" s="6">
        <v>4288.68</v>
      </c>
      <c r="O219" s="6">
        <v>560</v>
      </c>
      <c r="P219" s="6">
        <v>123.50000095367</v>
      </c>
      <c r="Q219" s="6">
        <v>476.89614971909998</v>
      </c>
      <c r="R219" s="6">
        <v>600.39615067279999</v>
      </c>
      <c r="S219" s="6">
        <v>1608.18</v>
      </c>
      <c r="T219" s="9">
        <f t="shared" si="9"/>
        <v>39870.857397489803</v>
      </c>
    </row>
    <row r="220" spans="1:20" x14ac:dyDescent="0.25">
      <c r="A220" s="6" t="str">
        <f>"60111623"</f>
        <v>60111623</v>
      </c>
      <c r="B220" s="6" t="s">
        <v>105</v>
      </c>
      <c r="C220" s="6"/>
      <c r="D220" s="6"/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9.5710535643999997</v>
      </c>
      <c r="R220" s="6">
        <v>9.5710535643999997</v>
      </c>
      <c r="S220" s="6">
        <v>61.01</v>
      </c>
      <c r="T220" s="9">
        <f t="shared" si="9"/>
        <v>70.581053564399994</v>
      </c>
    </row>
    <row r="221" spans="1:20" x14ac:dyDescent="0.25">
      <c r="A221" s="6" t="str">
        <f t="shared" ref="A221:A241" si="11">"60162694"</f>
        <v>60162694</v>
      </c>
      <c r="B221" s="6" t="s">
        <v>106</v>
      </c>
      <c r="C221" s="6"/>
      <c r="D221" s="6" t="s">
        <v>365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/>
      <c r="Q221" s="6">
        <v>0</v>
      </c>
      <c r="R221" s="6">
        <v>0</v>
      </c>
      <c r="S221" s="6">
        <v>0</v>
      </c>
      <c r="T221" s="9">
        <f t="shared" si="9"/>
        <v>0</v>
      </c>
    </row>
    <row r="222" spans="1:20" x14ac:dyDescent="0.25">
      <c r="A222" s="6" t="str">
        <f t="shared" si="11"/>
        <v>60162694</v>
      </c>
      <c r="B222" s="6" t="s">
        <v>106</v>
      </c>
      <c r="C222" s="6"/>
      <c r="D222" s="6"/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/>
      <c r="Q222" s="6">
        <v>0</v>
      </c>
      <c r="R222" s="6">
        <v>0</v>
      </c>
      <c r="S222" s="6">
        <v>0</v>
      </c>
      <c r="T222" s="9">
        <f t="shared" si="9"/>
        <v>0</v>
      </c>
    </row>
    <row r="223" spans="1:20" x14ac:dyDescent="0.25">
      <c r="A223" s="6" t="str">
        <f t="shared" si="11"/>
        <v>60162694</v>
      </c>
      <c r="B223" s="6" t="s">
        <v>106</v>
      </c>
      <c r="C223" s="6" t="s">
        <v>366</v>
      </c>
      <c r="D223" s="6" t="s">
        <v>367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/>
      <c r="Q223" s="6">
        <v>0</v>
      </c>
      <c r="R223" s="6">
        <v>0</v>
      </c>
      <c r="S223" s="6">
        <v>0</v>
      </c>
      <c r="T223" s="9">
        <f t="shared" si="9"/>
        <v>0</v>
      </c>
    </row>
    <row r="224" spans="1:20" x14ac:dyDescent="0.25">
      <c r="A224" s="6" t="str">
        <f t="shared" si="11"/>
        <v>60162694</v>
      </c>
      <c r="B224" s="6" t="s">
        <v>106</v>
      </c>
      <c r="C224" s="6" t="s">
        <v>368</v>
      </c>
      <c r="D224" s="6" t="s">
        <v>369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/>
      <c r="Q224" s="6">
        <v>0</v>
      </c>
      <c r="R224" s="6">
        <v>0</v>
      </c>
      <c r="S224" s="6">
        <v>0</v>
      </c>
      <c r="T224" s="9">
        <f t="shared" si="9"/>
        <v>0</v>
      </c>
    </row>
    <row r="225" spans="1:20" x14ac:dyDescent="0.25">
      <c r="A225" s="6" t="str">
        <f t="shared" si="11"/>
        <v>60162694</v>
      </c>
      <c r="B225" s="6" t="s">
        <v>106</v>
      </c>
      <c r="C225" s="6" t="s">
        <v>370</v>
      </c>
      <c r="D225" s="6" t="s">
        <v>371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/>
      <c r="Q225" s="6">
        <v>0</v>
      </c>
      <c r="R225" s="6">
        <v>0</v>
      </c>
      <c r="S225" s="6">
        <v>0</v>
      </c>
      <c r="T225" s="9">
        <f t="shared" si="9"/>
        <v>0</v>
      </c>
    </row>
    <row r="226" spans="1:20" x14ac:dyDescent="0.25">
      <c r="A226" s="6" t="str">
        <f t="shared" si="11"/>
        <v>60162694</v>
      </c>
      <c r="B226" s="6" t="s">
        <v>106</v>
      </c>
      <c r="C226" s="6" t="s">
        <v>372</v>
      </c>
      <c r="D226" s="6" t="s">
        <v>373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/>
      <c r="Q226" s="6">
        <v>0</v>
      </c>
      <c r="R226" s="6">
        <v>0</v>
      </c>
      <c r="S226" s="6">
        <v>0</v>
      </c>
      <c r="T226" s="9">
        <f t="shared" si="9"/>
        <v>0</v>
      </c>
    </row>
    <row r="227" spans="1:20" x14ac:dyDescent="0.25">
      <c r="A227" s="6" t="str">
        <f t="shared" si="11"/>
        <v>60162694</v>
      </c>
      <c r="B227" s="6" t="s">
        <v>106</v>
      </c>
      <c r="C227" s="6" t="s">
        <v>374</v>
      </c>
      <c r="D227" s="6" t="s">
        <v>375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/>
      <c r="Q227" s="6">
        <v>0</v>
      </c>
      <c r="R227" s="6">
        <v>0</v>
      </c>
      <c r="S227" s="6">
        <v>0</v>
      </c>
      <c r="T227" s="9">
        <f t="shared" si="9"/>
        <v>0</v>
      </c>
    </row>
    <row r="228" spans="1:20" x14ac:dyDescent="0.25">
      <c r="A228" s="6" t="str">
        <f t="shared" si="11"/>
        <v>60162694</v>
      </c>
      <c r="B228" s="6" t="s">
        <v>106</v>
      </c>
      <c r="C228" s="6" t="s">
        <v>376</v>
      </c>
      <c r="D228" s="6" t="s">
        <v>377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/>
      <c r="Q228" s="6">
        <v>0</v>
      </c>
      <c r="R228" s="6">
        <v>0</v>
      </c>
      <c r="S228" s="6">
        <v>0</v>
      </c>
      <c r="T228" s="9">
        <f t="shared" si="9"/>
        <v>0</v>
      </c>
    </row>
    <row r="229" spans="1:20" x14ac:dyDescent="0.25">
      <c r="A229" s="6" t="str">
        <f t="shared" si="11"/>
        <v>60162694</v>
      </c>
      <c r="B229" s="6" t="s">
        <v>106</v>
      </c>
      <c r="C229" s="6" t="s">
        <v>378</v>
      </c>
      <c r="D229" s="6" t="s">
        <v>379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/>
      <c r="Q229" s="6">
        <v>0</v>
      </c>
      <c r="R229" s="6">
        <v>0</v>
      </c>
      <c r="S229" s="6">
        <v>0</v>
      </c>
      <c r="T229" s="9">
        <f t="shared" si="9"/>
        <v>0</v>
      </c>
    </row>
    <row r="230" spans="1:20" x14ac:dyDescent="0.25">
      <c r="A230" s="6" t="str">
        <f t="shared" si="11"/>
        <v>60162694</v>
      </c>
      <c r="B230" s="6" t="s">
        <v>106</v>
      </c>
      <c r="C230" s="6" t="s">
        <v>380</v>
      </c>
      <c r="D230" s="6" t="s">
        <v>381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/>
      <c r="Q230" s="6">
        <v>0</v>
      </c>
      <c r="R230" s="6">
        <v>0</v>
      </c>
      <c r="S230" s="6">
        <v>0</v>
      </c>
      <c r="T230" s="9">
        <f t="shared" si="9"/>
        <v>0</v>
      </c>
    </row>
    <row r="231" spans="1:20" x14ac:dyDescent="0.25">
      <c r="A231" s="6" t="str">
        <f t="shared" si="11"/>
        <v>60162694</v>
      </c>
      <c r="B231" s="6" t="s">
        <v>106</v>
      </c>
      <c r="C231" s="6" t="s">
        <v>382</v>
      </c>
      <c r="D231" s="6" t="s">
        <v>383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/>
      <c r="Q231" s="6">
        <v>0</v>
      </c>
      <c r="R231" s="6">
        <v>0</v>
      </c>
      <c r="S231" s="6">
        <v>0</v>
      </c>
      <c r="T231" s="9">
        <f t="shared" si="9"/>
        <v>0</v>
      </c>
    </row>
    <row r="232" spans="1:20" x14ac:dyDescent="0.25">
      <c r="A232" s="6" t="str">
        <f t="shared" si="11"/>
        <v>60162694</v>
      </c>
      <c r="B232" s="6" t="s">
        <v>106</v>
      </c>
      <c r="C232" s="6" t="s">
        <v>384</v>
      </c>
      <c r="D232" s="6" t="s">
        <v>385</v>
      </c>
      <c r="E232" s="6">
        <v>3</v>
      </c>
      <c r="F232" s="6">
        <v>16.613908484742002</v>
      </c>
      <c r="G232" s="6">
        <v>17.584710028581998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43.151544916500001</v>
      </c>
      <c r="R232" s="6">
        <v>43.151544916500001</v>
      </c>
      <c r="S232" s="6">
        <v>0</v>
      </c>
      <c r="T232" s="9">
        <f t="shared" si="9"/>
        <v>60.736254945081996</v>
      </c>
    </row>
    <row r="233" spans="1:20" x14ac:dyDescent="0.25">
      <c r="A233" s="6" t="str">
        <f t="shared" si="11"/>
        <v>60162694</v>
      </c>
      <c r="B233" s="6" t="s">
        <v>106</v>
      </c>
      <c r="C233" s="6" t="s">
        <v>386</v>
      </c>
      <c r="D233" s="6" t="s">
        <v>387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/>
      <c r="Q233" s="6">
        <v>0</v>
      </c>
      <c r="R233" s="6">
        <v>0</v>
      </c>
      <c r="S233" s="6">
        <v>0</v>
      </c>
      <c r="T233" s="9">
        <f t="shared" si="9"/>
        <v>0</v>
      </c>
    </row>
    <row r="234" spans="1:20" x14ac:dyDescent="0.25">
      <c r="A234" s="6" t="str">
        <f t="shared" si="11"/>
        <v>60162694</v>
      </c>
      <c r="B234" s="6" t="s">
        <v>106</v>
      </c>
      <c r="C234" s="6" t="s">
        <v>388</v>
      </c>
      <c r="D234" s="6" t="s">
        <v>389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/>
      <c r="Q234" s="6">
        <v>0</v>
      </c>
      <c r="R234" s="6">
        <v>0</v>
      </c>
      <c r="S234" s="6">
        <v>0</v>
      </c>
      <c r="T234" s="9">
        <f t="shared" si="9"/>
        <v>0</v>
      </c>
    </row>
    <row r="235" spans="1:20" x14ac:dyDescent="0.25">
      <c r="A235" s="6" t="str">
        <f t="shared" si="11"/>
        <v>60162694</v>
      </c>
      <c r="B235" s="6" t="s">
        <v>106</v>
      </c>
      <c r="C235" s="6" t="s">
        <v>390</v>
      </c>
      <c r="D235" s="6" t="s">
        <v>391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7.2</v>
      </c>
      <c r="L235" s="6">
        <v>0</v>
      </c>
      <c r="M235" s="6">
        <v>33.637</v>
      </c>
      <c r="N235" s="6">
        <v>30.273299999999999</v>
      </c>
      <c r="O235" s="6">
        <v>0</v>
      </c>
      <c r="P235" s="6">
        <v>0</v>
      </c>
      <c r="Q235" s="6">
        <v>20.450969154700001</v>
      </c>
      <c r="R235" s="6">
        <v>20.450969154700001</v>
      </c>
      <c r="S235" s="6">
        <v>229.952</v>
      </c>
      <c r="T235" s="9">
        <f t="shared" si="9"/>
        <v>280.67626915469998</v>
      </c>
    </row>
    <row r="236" spans="1:20" x14ac:dyDescent="0.25">
      <c r="A236" s="6" t="str">
        <f t="shared" si="11"/>
        <v>60162694</v>
      </c>
      <c r="B236" s="6" t="s">
        <v>106</v>
      </c>
      <c r="C236" s="6" t="s">
        <v>392</v>
      </c>
      <c r="D236" s="6" t="s">
        <v>393</v>
      </c>
      <c r="E236" s="6">
        <v>322</v>
      </c>
      <c r="F236" s="6">
        <v>2878.4062881682999</v>
      </c>
      <c r="G236" s="6">
        <v>2869.9205358822001</v>
      </c>
      <c r="H236" s="6">
        <v>0</v>
      </c>
      <c r="I236" s="6">
        <v>0</v>
      </c>
      <c r="J236" s="6">
        <v>0</v>
      </c>
      <c r="K236" s="6">
        <v>7.2</v>
      </c>
      <c r="L236" s="6">
        <v>0</v>
      </c>
      <c r="M236" s="6">
        <v>363.577</v>
      </c>
      <c r="N236" s="6">
        <v>327.21899999999999</v>
      </c>
      <c r="O236" s="6">
        <v>0</v>
      </c>
      <c r="P236" s="6">
        <v>0</v>
      </c>
      <c r="Q236" s="6">
        <v>33.437334567999997</v>
      </c>
      <c r="R236" s="6">
        <v>33.437334567999997</v>
      </c>
      <c r="S236" s="6">
        <v>286.93299999999999</v>
      </c>
      <c r="T236" s="9">
        <f t="shared" si="9"/>
        <v>3517.5098704502002</v>
      </c>
    </row>
    <row r="237" spans="1:20" x14ac:dyDescent="0.25">
      <c r="A237" s="6" t="str">
        <f t="shared" si="11"/>
        <v>60162694</v>
      </c>
      <c r="B237" s="6" t="s">
        <v>106</v>
      </c>
      <c r="C237" s="6" t="s">
        <v>394</v>
      </c>
      <c r="D237" s="6" t="s">
        <v>395</v>
      </c>
      <c r="E237" s="6">
        <v>577</v>
      </c>
      <c r="F237" s="6">
        <v>5050.8299659058002</v>
      </c>
      <c r="G237" s="6">
        <v>4691.5952955276998</v>
      </c>
      <c r="H237" s="6">
        <v>0</v>
      </c>
      <c r="I237" s="6">
        <v>0</v>
      </c>
      <c r="J237" s="6">
        <v>0</v>
      </c>
      <c r="K237" s="6">
        <v>7.2</v>
      </c>
      <c r="L237" s="6">
        <v>0</v>
      </c>
      <c r="M237" s="6">
        <v>1073.8699999999999</v>
      </c>
      <c r="N237" s="6">
        <v>966.48299999999995</v>
      </c>
      <c r="O237" s="6">
        <v>0</v>
      </c>
      <c r="P237" s="6">
        <v>0</v>
      </c>
      <c r="Q237" s="6">
        <v>124.5873040906</v>
      </c>
      <c r="R237" s="6">
        <v>124.5873040906</v>
      </c>
      <c r="S237" s="6">
        <v>1864.99</v>
      </c>
      <c r="T237" s="9">
        <f t="shared" si="9"/>
        <v>7647.6555996182997</v>
      </c>
    </row>
    <row r="238" spans="1:20" x14ac:dyDescent="0.25">
      <c r="A238" s="6" t="str">
        <f t="shared" si="11"/>
        <v>60162694</v>
      </c>
      <c r="B238" s="6" t="s">
        <v>106</v>
      </c>
      <c r="C238" s="6" t="s">
        <v>396</v>
      </c>
      <c r="D238" s="6" t="s">
        <v>397</v>
      </c>
      <c r="E238" s="6">
        <v>602</v>
      </c>
      <c r="F238" s="6">
        <v>7699.8841886929004</v>
      </c>
      <c r="G238" s="6">
        <v>7784.0799419854002</v>
      </c>
      <c r="H238" s="6">
        <v>0</v>
      </c>
      <c r="I238" s="6">
        <v>0</v>
      </c>
      <c r="J238" s="6">
        <v>0</v>
      </c>
      <c r="K238" s="6">
        <v>7.2</v>
      </c>
      <c r="L238" s="6">
        <v>0</v>
      </c>
      <c r="M238" s="6">
        <v>1131.1099999999999</v>
      </c>
      <c r="N238" s="6">
        <v>1018</v>
      </c>
      <c r="O238" s="6">
        <v>0</v>
      </c>
      <c r="P238" s="6">
        <v>0</v>
      </c>
      <c r="Q238" s="6">
        <v>101.27319925419999</v>
      </c>
      <c r="R238" s="6">
        <v>101.27319925419999</v>
      </c>
      <c r="S238" s="6">
        <v>264.399</v>
      </c>
      <c r="T238" s="9">
        <f t="shared" si="9"/>
        <v>9167.7521412396</v>
      </c>
    </row>
    <row r="239" spans="1:20" x14ac:dyDescent="0.25">
      <c r="A239" s="6" t="str">
        <f t="shared" si="11"/>
        <v>60162694</v>
      </c>
      <c r="B239" s="6" t="s">
        <v>106</v>
      </c>
      <c r="C239" s="6" t="s">
        <v>398</v>
      </c>
      <c r="D239" s="6" t="s">
        <v>399</v>
      </c>
      <c r="E239" s="6">
        <v>26</v>
      </c>
      <c r="F239" s="6">
        <v>241.71478612703999</v>
      </c>
      <c r="G239" s="6">
        <v>252.60580142910001</v>
      </c>
      <c r="H239" s="6">
        <v>0</v>
      </c>
      <c r="I239" s="6">
        <v>0</v>
      </c>
      <c r="J239" s="6">
        <v>0</v>
      </c>
      <c r="K239" s="6">
        <v>7.2</v>
      </c>
      <c r="L239" s="6">
        <v>0</v>
      </c>
      <c r="M239" s="6">
        <v>26.942</v>
      </c>
      <c r="N239" s="6">
        <v>24.247800000000002</v>
      </c>
      <c r="O239" s="6">
        <v>0</v>
      </c>
      <c r="P239" s="6"/>
      <c r="Q239" s="6">
        <v>0</v>
      </c>
      <c r="R239" s="6">
        <v>0</v>
      </c>
      <c r="S239" s="6">
        <v>54.12</v>
      </c>
      <c r="T239" s="9">
        <f t="shared" si="9"/>
        <v>330.97360142910003</v>
      </c>
    </row>
    <row r="240" spans="1:20" x14ac:dyDescent="0.25">
      <c r="A240" s="6" t="str">
        <f t="shared" si="11"/>
        <v>60162694</v>
      </c>
      <c r="B240" s="6" t="s">
        <v>106</v>
      </c>
      <c r="C240" s="6" t="s">
        <v>400</v>
      </c>
      <c r="D240" s="6" t="s">
        <v>401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/>
      <c r="Q240" s="6">
        <v>0</v>
      </c>
      <c r="R240" s="6">
        <v>0</v>
      </c>
      <c r="S240" s="6">
        <v>0</v>
      </c>
      <c r="T240" s="9">
        <f t="shared" si="9"/>
        <v>0</v>
      </c>
    </row>
    <row r="241" spans="1:20" x14ac:dyDescent="0.25">
      <c r="A241" s="6" t="str">
        <f t="shared" si="11"/>
        <v>60162694</v>
      </c>
      <c r="B241" s="6" t="s">
        <v>106</v>
      </c>
      <c r="C241" s="6" t="s">
        <v>402</v>
      </c>
      <c r="D241" s="6" t="s">
        <v>403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/>
      <c r="Q241" s="6">
        <v>0</v>
      </c>
      <c r="R241" s="6">
        <v>0</v>
      </c>
      <c r="S241" s="6">
        <v>0</v>
      </c>
      <c r="T241" s="9">
        <f t="shared" si="9"/>
        <v>0</v>
      </c>
    </row>
    <row r="242" spans="1:20" x14ac:dyDescent="0.25">
      <c r="A242" s="6" t="str">
        <f t="shared" ref="A242:A251" si="12">"00007064"</f>
        <v>00007064</v>
      </c>
      <c r="B242" s="6" t="s">
        <v>107</v>
      </c>
      <c r="C242" s="6"/>
      <c r="D242" s="6"/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/>
      <c r="Q242" s="6">
        <v>0</v>
      </c>
      <c r="R242" s="6">
        <v>0</v>
      </c>
      <c r="S242" s="6">
        <v>0</v>
      </c>
      <c r="T242" s="9">
        <f t="shared" si="9"/>
        <v>0</v>
      </c>
    </row>
    <row r="243" spans="1:20" x14ac:dyDescent="0.25">
      <c r="A243" s="6" t="str">
        <f t="shared" si="12"/>
        <v>00007064</v>
      </c>
      <c r="B243" s="6" t="s">
        <v>107</v>
      </c>
      <c r="C243" s="6" t="s">
        <v>404</v>
      </c>
      <c r="D243" s="6" t="s">
        <v>405</v>
      </c>
      <c r="E243" s="6">
        <v>22</v>
      </c>
      <c r="F243" s="6">
        <v>397.14892927651999</v>
      </c>
      <c r="G243" s="6">
        <v>384.90504289924002</v>
      </c>
      <c r="H243" s="6">
        <v>0</v>
      </c>
      <c r="I243" s="6">
        <v>0</v>
      </c>
      <c r="J243" s="6">
        <v>0</v>
      </c>
      <c r="K243" s="6">
        <v>3</v>
      </c>
      <c r="L243" s="6">
        <v>0</v>
      </c>
      <c r="M243" s="6">
        <v>183.46199999999999</v>
      </c>
      <c r="N243" s="6">
        <v>165.11600000000001</v>
      </c>
      <c r="O243" s="6">
        <v>0</v>
      </c>
      <c r="P243" s="6">
        <v>0</v>
      </c>
      <c r="Q243" s="6">
        <v>420.10380837640002</v>
      </c>
      <c r="R243" s="6">
        <v>420.10380837640002</v>
      </c>
      <c r="S243" s="6">
        <v>970.74599999999998</v>
      </c>
      <c r="T243" s="9">
        <f t="shared" si="9"/>
        <v>1940.87085127564</v>
      </c>
    </row>
    <row r="244" spans="1:20" x14ac:dyDescent="0.25">
      <c r="A244" s="6" t="str">
        <f t="shared" si="12"/>
        <v>00007064</v>
      </c>
      <c r="B244" s="6" t="s">
        <v>107</v>
      </c>
      <c r="C244" s="6" t="s">
        <v>406</v>
      </c>
      <c r="D244" s="6" t="s">
        <v>407</v>
      </c>
      <c r="E244" s="6">
        <v>6</v>
      </c>
      <c r="F244" s="6">
        <v>28.141166666667001</v>
      </c>
      <c r="G244" s="6">
        <v>30.516262352565001</v>
      </c>
      <c r="H244" s="6">
        <v>0</v>
      </c>
      <c r="I244" s="6">
        <v>0</v>
      </c>
      <c r="J244" s="6">
        <v>0</v>
      </c>
      <c r="K244" s="6">
        <v>3</v>
      </c>
      <c r="L244" s="6">
        <v>0</v>
      </c>
      <c r="M244" s="6">
        <v>89.07</v>
      </c>
      <c r="N244" s="6">
        <v>80.162999999999997</v>
      </c>
      <c r="O244" s="6">
        <v>0</v>
      </c>
      <c r="P244" s="6">
        <v>0</v>
      </c>
      <c r="Q244" s="6">
        <v>121.1310903035</v>
      </c>
      <c r="R244" s="6">
        <v>121.1310903035</v>
      </c>
      <c r="S244" s="6">
        <v>807.34699999999998</v>
      </c>
      <c r="T244" s="9">
        <f t="shared" si="9"/>
        <v>1039.1573526560651</v>
      </c>
    </row>
    <row r="245" spans="1:20" x14ac:dyDescent="0.25">
      <c r="A245" s="6" t="str">
        <f t="shared" si="12"/>
        <v>00007064</v>
      </c>
      <c r="B245" s="6" t="s">
        <v>107</v>
      </c>
      <c r="C245" s="6" t="s">
        <v>408</v>
      </c>
      <c r="D245" s="6" t="s">
        <v>409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89.759303620099999</v>
      </c>
      <c r="R245" s="6">
        <v>89.759303620099999</v>
      </c>
      <c r="S245" s="6">
        <v>0</v>
      </c>
      <c r="T245" s="9">
        <f t="shared" si="9"/>
        <v>89.759303620099999</v>
      </c>
    </row>
    <row r="246" spans="1:20" x14ac:dyDescent="0.25">
      <c r="A246" s="6" t="str">
        <f t="shared" si="12"/>
        <v>00007064</v>
      </c>
      <c r="B246" s="6" t="s">
        <v>107</v>
      </c>
      <c r="C246" s="6" t="s">
        <v>410</v>
      </c>
      <c r="D246" s="6" t="s">
        <v>411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/>
      <c r="Q246" s="6">
        <v>0</v>
      </c>
      <c r="R246" s="6">
        <v>0</v>
      </c>
      <c r="S246" s="6">
        <v>0</v>
      </c>
      <c r="T246" s="9">
        <f t="shared" si="9"/>
        <v>0</v>
      </c>
    </row>
    <row r="247" spans="1:20" x14ac:dyDescent="0.25">
      <c r="A247" s="6" t="str">
        <f t="shared" si="12"/>
        <v>00007064</v>
      </c>
      <c r="B247" s="6" t="s">
        <v>107</v>
      </c>
      <c r="C247" s="6" t="s">
        <v>412</v>
      </c>
      <c r="D247" s="6" t="s">
        <v>413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/>
      <c r="Q247" s="6">
        <v>0</v>
      </c>
      <c r="R247" s="6">
        <v>0</v>
      </c>
      <c r="S247" s="6">
        <v>0</v>
      </c>
      <c r="T247" s="9">
        <f t="shared" si="9"/>
        <v>0</v>
      </c>
    </row>
    <row r="248" spans="1:20" x14ac:dyDescent="0.25">
      <c r="A248" s="6" t="str">
        <f t="shared" si="12"/>
        <v>00007064</v>
      </c>
      <c r="B248" s="6" t="s">
        <v>107</v>
      </c>
      <c r="C248" s="6" t="s">
        <v>414</v>
      </c>
      <c r="D248" s="6" t="s">
        <v>415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/>
      <c r="Q248" s="6">
        <v>0</v>
      </c>
      <c r="R248" s="6">
        <v>0</v>
      </c>
      <c r="S248" s="6">
        <v>0</v>
      </c>
      <c r="T248" s="9">
        <f t="shared" si="9"/>
        <v>0</v>
      </c>
    </row>
    <row r="249" spans="1:20" x14ac:dyDescent="0.25">
      <c r="A249" s="6" t="str">
        <f t="shared" si="12"/>
        <v>00007064</v>
      </c>
      <c r="B249" s="6" t="s">
        <v>107</v>
      </c>
      <c r="C249" s="6" t="s">
        <v>416</v>
      </c>
      <c r="D249" s="6" t="s">
        <v>417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/>
      <c r="Q249" s="6">
        <v>0</v>
      </c>
      <c r="R249" s="6">
        <v>0</v>
      </c>
      <c r="S249" s="6">
        <v>0</v>
      </c>
      <c r="T249" s="9">
        <f t="shared" si="9"/>
        <v>0</v>
      </c>
    </row>
    <row r="250" spans="1:20" x14ac:dyDescent="0.25">
      <c r="A250" s="6" t="str">
        <f t="shared" si="12"/>
        <v>00007064</v>
      </c>
      <c r="B250" s="6" t="s">
        <v>107</v>
      </c>
      <c r="C250" s="6" t="s">
        <v>418</v>
      </c>
      <c r="D250" s="6" t="s">
        <v>419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/>
      <c r="Q250" s="6">
        <v>0</v>
      </c>
      <c r="R250" s="6">
        <v>0</v>
      </c>
      <c r="S250" s="6">
        <v>0</v>
      </c>
      <c r="T250" s="9">
        <f t="shared" si="9"/>
        <v>0</v>
      </c>
    </row>
    <row r="251" spans="1:20" x14ac:dyDescent="0.25">
      <c r="A251" s="6" t="str">
        <f t="shared" si="12"/>
        <v>00007064</v>
      </c>
      <c r="B251" s="6" t="s">
        <v>107</v>
      </c>
      <c r="C251" s="6" t="s">
        <v>420</v>
      </c>
      <c r="D251" s="6" t="s">
        <v>421</v>
      </c>
      <c r="E251" s="6">
        <v>13</v>
      </c>
      <c r="F251" s="6">
        <v>195.61392959630001</v>
      </c>
      <c r="G251" s="6">
        <v>193.77621702740001</v>
      </c>
      <c r="H251" s="6">
        <v>0</v>
      </c>
      <c r="I251" s="6">
        <v>0</v>
      </c>
      <c r="J251" s="6">
        <v>0</v>
      </c>
      <c r="K251" s="6">
        <v>3</v>
      </c>
      <c r="L251" s="6">
        <v>0</v>
      </c>
      <c r="M251" s="6">
        <v>287.49799999999999</v>
      </c>
      <c r="N251" s="6">
        <v>258.74799999999999</v>
      </c>
      <c r="O251" s="6">
        <v>0</v>
      </c>
      <c r="P251" s="6">
        <v>0</v>
      </c>
      <c r="Q251" s="6">
        <v>219.9092713208</v>
      </c>
      <c r="R251" s="6">
        <v>219.9092713208</v>
      </c>
      <c r="S251" s="6">
        <v>2009.12</v>
      </c>
      <c r="T251" s="9">
        <f t="shared" si="9"/>
        <v>2681.5534883482001</v>
      </c>
    </row>
    <row r="252" spans="1:20" x14ac:dyDescent="0.25">
      <c r="A252" s="6" t="str">
        <f>"00094871"</f>
        <v>00094871</v>
      </c>
      <c r="B252" s="6" t="s">
        <v>108</v>
      </c>
      <c r="C252" s="6"/>
      <c r="D252" s="6"/>
      <c r="E252" s="6">
        <v>57</v>
      </c>
      <c r="F252" s="6">
        <v>887.31291462173999</v>
      </c>
      <c r="G252" s="6">
        <v>861.79113465537</v>
      </c>
      <c r="H252" s="6">
        <v>0</v>
      </c>
      <c r="I252" s="6">
        <v>0</v>
      </c>
      <c r="J252" s="6">
        <v>0</v>
      </c>
      <c r="K252" s="6">
        <v>0.66666700000000001</v>
      </c>
      <c r="L252" s="6">
        <v>0</v>
      </c>
      <c r="M252" s="6">
        <v>97.042500000000004</v>
      </c>
      <c r="N252" s="6">
        <v>87.338200000000001</v>
      </c>
      <c r="O252" s="6">
        <v>0</v>
      </c>
      <c r="P252" s="6">
        <v>0</v>
      </c>
      <c r="Q252" s="6">
        <v>14.929207483000001</v>
      </c>
      <c r="R252" s="6">
        <v>14.929207483000001</v>
      </c>
      <c r="S252" s="6">
        <v>14.569000000000001</v>
      </c>
      <c r="T252" s="9">
        <f t="shared" si="9"/>
        <v>978.62754213837002</v>
      </c>
    </row>
    <row r="253" spans="1:20" x14ac:dyDescent="0.25">
      <c r="A253" s="6" t="str">
        <f>"00094943"</f>
        <v>00094943</v>
      </c>
      <c r="B253" s="6" t="s">
        <v>109</v>
      </c>
      <c r="C253" s="6"/>
      <c r="D253" s="6"/>
      <c r="E253" s="6">
        <v>49</v>
      </c>
      <c r="F253" s="6">
        <v>926.94999989032999</v>
      </c>
      <c r="G253" s="6">
        <v>896.12704416804002</v>
      </c>
      <c r="H253" s="6">
        <v>0</v>
      </c>
      <c r="I253" s="6">
        <v>0</v>
      </c>
      <c r="J253" s="6">
        <v>0</v>
      </c>
      <c r="K253" s="6">
        <v>1</v>
      </c>
      <c r="L253" s="6">
        <v>0</v>
      </c>
      <c r="M253" s="6">
        <v>167.684</v>
      </c>
      <c r="N253" s="6">
        <v>150.916</v>
      </c>
      <c r="O253" s="6">
        <v>0</v>
      </c>
      <c r="P253" s="6">
        <v>0</v>
      </c>
      <c r="Q253" s="6">
        <v>132.11326073949999</v>
      </c>
      <c r="R253" s="6">
        <v>132.11326073949999</v>
      </c>
      <c r="S253" s="6">
        <v>589.75699999999995</v>
      </c>
      <c r="T253" s="9">
        <f t="shared" si="9"/>
        <v>1768.9133049075399</v>
      </c>
    </row>
    <row r="254" spans="1:20" x14ac:dyDescent="0.25">
      <c r="A254" s="6" t="str">
        <f>"00094862"</f>
        <v>00094862</v>
      </c>
      <c r="B254" s="6" t="s">
        <v>110</v>
      </c>
      <c r="C254" s="6"/>
      <c r="D254" s="6"/>
      <c r="E254" s="6">
        <v>465</v>
      </c>
      <c r="F254" s="6">
        <v>3862.6494548044998</v>
      </c>
      <c r="G254" s="6">
        <v>3601.6243920493998</v>
      </c>
      <c r="H254" s="6">
        <v>0</v>
      </c>
      <c r="I254" s="6">
        <v>0</v>
      </c>
      <c r="J254" s="6">
        <v>0</v>
      </c>
      <c r="K254" s="6">
        <v>1.5</v>
      </c>
      <c r="L254" s="6">
        <v>0</v>
      </c>
      <c r="M254" s="6">
        <v>355.38799999999998</v>
      </c>
      <c r="N254" s="6">
        <v>319.84899999999999</v>
      </c>
      <c r="O254" s="6">
        <v>0</v>
      </c>
      <c r="P254" s="6">
        <v>0</v>
      </c>
      <c r="Q254" s="6">
        <v>10.675405898799999</v>
      </c>
      <c r="R254" s="6">
        <v>10.675405898799999</v>
      </c>
      <c r="S254" s="6">
        <v>11.552</v>
      </c>
      <c r="T254" s="9">
        <f t="shared" si="9"/>
        <v>3943.7007979482</v>
      </c>
    </row>
    <row r="255" spans="1:20" x14ac:dyDescent="0.25">
      <c r="A255" s="6" t="str">
        <f>"00088382"</f>
        <v>00088382</v>
      </c>
      <c r="B255" s="6" t="s">
        <v>111</v>
      </c>
      <c r="C255" s="6"/>
      <c r="D255" s="6"/>
      <c r="E255" s="6">
        <v>1</v>
      </c>
      <c r="F255" s="6">
        <v>24.712999343871999</v>
      </c>
      <c r="G255" s="6">
        <v>25.261999130248999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/>
      <c r="Q255" s="6">
        <v>0</v>
      </c>
      <c r="R255" s="6">
        <v>0</v>
      </c>
      <c r="S255" s="6">
        <v>0</v>
      </c>
      <c r="T255" s="9">
        <f t="shared" si="9"/>
        <v>25.261999130248999</v>
      </c>
    </row>
    <row r="256" spans="1:20" x14ac:dyDescent="0.25">
      <c r="A256" s="6" t="str">
        <f>"00090735"</f>
        <v>00090735</v>
      </c>
      <c r="B256" s="6" t="s">
        <v>112</v>
      </c>
      <c r="C256" s="6"/>
      <c r="D256" s="6"/>
      <c r="E256" s="6">
        <v>3</v>
      </c>
      <c r="F256" s="6">
        <v>80.986999511719006</v>
      </c>
      <c r="G256" s="6">
        <v>91.229000091553004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15.644991403400001</v>
      </c>
      <c r="R256" s="6">
        <v>15.644991403400001</v>
      </c>
      <c r="S256" s="6">
        <v>14.526</v>
      </c>
      <c r="T256" s="9">
        <f t="shared" si="9"/>
        <v>121.399991494953</v>
      </c>
    </row>
    <row r="257" spans="1:20" x14ac:dyDescent="0.25">
      <c r="A257" s="6" t="str">
        <f>"70979821"</f>
        <v>70979821</v>
      </c>
      <c r="B257" s="6" t="s">
        <v>113</v>
      </c>
      <c r="C257" s="6"/>
      <c r="D257" s="6"/>
      <c r="E257" s="6">
        <v>159</v>
      </c>
      <c r="F257" s="6">
        <v>1411.1936715557999</v>
      </c>
      <c r="G257" s="6">
        <v>1264.2810090466</v>
      </c>
      <c r="H257" s="6">
        <v>0</v>
      </c>
      <c r="I257" s="6">
        <v>0</v>
      </c>
      <c r="J257" s="6">
        <v>0</v>
      </c>
      <c r="K257" s="6">
        <v>1</v>
      </c>
      <c r="L257" s="6">
        <v>1</v>
      </c>
      <c r="M257" s="6">
        <v>167.529</v>
      </c>
      <c r="N257" s="6">
        <v>250.58099999999999</v>
      </c>
      <c r="O257" s="6">
        <v>0</v>
      </c>
      <c r="P257" s="6">
        <v>0</v>
      </c>
      <c r="Q257" s="6">
        <v>62.641318521000002</v>
      </c>
      <c r="R257" s="6">
        <v>62.641318521000002</v>
      </c>
      <c r="S257" s="6">
        <v>243.773</v>
      </c>
      <c r="T257" s="9">
        <f t="shared" si="9"/>
        <v>1821.2763275675998</v>
      </c>
    </row>
    <row r="258" spans="1:20" x14ac:dyDescent="0.25">
      <c r="A258" s="6" t="str">
        <f>"00057266"</f>
        <v>00057266</v>
      </c>
      <c r="B258" s="6" t="s">
        <v>114</v>
      </c>
      <c r="C258" s="6"/>
      <c r="D258" s="6"/>
      <c r="E258" s="6">
        <v>3</v>
      </c>
      <c r="F258" s="6">
        <v>61.730833333333003</v>
      </c>
      <c r="G258" s="6">
        <v>64.176174499005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33.948608796800002</v>
      </c>
      <c r="R258" s="6">
        <v>33.948608796800002</v>
      </c>
      <c r="S258" s="6">
        <v>29.327000000000002</v>
      </c>
      <c r="T258" s="9">
        <f t="shared" si="9"/>
        <v>127.451783295805</v>
      </c>
    </row>
    <row r="259" spans="1:20" x14ac:dyDescent="0.25">
      <c r="A259" s="6" t="str">
        <f>"00023281"</f>
        <v>00023281</v>
      </c>
      <c r="B259" s="6" t="s">
        <v>115</v>
      </c>
      <c r="C259" s="6"/>
      <c r="D259" s="6"/>
      <c r="E259" s="6">
        <v>180</v>
      </c>
      <c r="F259" s="6">
        <v>2318.4281074954001</v>
      </c>
      <c r="G259" s="6">
        <v>2169.8834231666001</v>
      </c>
      <c r="H259" s="6">
        <v>0</v>
      </c>
      <c r="I259" s="6">
        <v>0</v>
      </c>
      <c r="J259" s="6">
        <v>0</v>
      </c>
      <c r="K259" s="6">
        <v>1</v>
      </c>
      <c r="L259" s="6">
        <v>0</v>
      </c>
      <c r="M259" s="6">
        <v>227.108</v>
      </c>
      <c r="N259" s="6">
        <v>204.39699999999999</v>
      </c>
      <c r="O259" s="6">
        <v>0</v>
      </c>
      <c r="P259" s="6">
        <v>0</v>
      </c>
      <c r="Q259" s="6">
        <v>237.0267325033</v>
      </c>
      <c r="R259" s="6">
        <v>237.0267325033</v>
      </c>
      <c r="S259" s="6">
        <v>135.126</v>
      </c>
      <c r="T259" s="9">
        <f t="shared" si="9"/>
        <v>2746.4331556699003</v>
      </c>
    </row>
    <row r="260" spans="1:20" x14ac:dyDescent="0.25">
      <c r="A260" s="6" t="str">
        <f>"14450551"</f>
        <v>14450551</v>
      </c>
      <c r="B260" s="6" t="s">
        <v>116</v>
      </c>
      <c r="C260" s="6"/>
      <c r="D260" s="6"/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/>
      <c r="Q260" s="6">
        <v>0</v>
      </c>
      <c r="R260" s="6">
        <v>0</v>
      </c>
      <c r="S260" s="6">
        <v>0</v>
      </c>
      <c r="T260" s="9">
        <f t="shared" si="9"/>
        <v>0</v>
      </c>
    </row>
    <row r="261" spans="1:20" x14ac:dyDescent="0.25">
      <c r="A261" s="6" t="str">
        <f>"00023221"</f>
        <v>00023221</v>
      </c>
      <c r="B261" s="6" t="s">
        <v>117</v>
      </c>
      <c r="C261" s="6"/>
      <c r="D261" s="6"/>
      <c r="E261" s="6">
        <v>39</v>
      </c>
      <c r="F261" s="6">
        <v>326.20287879163999</v>
      </c>
      <c r="G261" s="6">
        <v>292.01408556275999</v>
      </c>
      <c r="H261" s="6">
        <v>0</v>
      </c>
      <c r="I261" s="6">
        <v>0</v>
      </c>
      <c r="J261" s="6">
        <v>0</v>
      </c>
      <c r="K261" s="6">
        <v>1</v>
      </c>
      <c r="L261" s="6">
        <v>0</v>
      </c>
      <c r="M261" s="6">
        <v>141.62700000000001</v>
      </c>
      <c r="N261" s="6">
        <v>127.464</v>
      </c>
      <c r="O261" s="6">
        <v>0</v>
      </c>
      <c r="P261" s="6">
        <v>0</v>
      </c>
      <c r="Q261" s="6">
        <v>411.37124454730002</v>
      </c>
      <c r="R261" s="6">
        <v>411.37124454730002</v>
      </c>
      <c r="S261" s="6">
        <v>1302.8</v>
      </c>
      <c r="T261" s="9">
        <f t="shared" ref="T261:T324" si="13">G261+J261+N261+R261+S261</f>
        <v>2133.64933011006</v>
      </c>
    </row>
    <row r="262" spans="1:20" x14ac:dyDescent="0.25">
      <c r="A262" s="6" t="str">
        <f>"00023825"</f>
        <v>00023825</v>
      </c>
      <c r="B262" s="6" t="s">
        <v>118</v>
      </c>
      <c r="C262" s="6"/>
      <c r="D262" s="6"/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/>
      <c r="Q262" s="6">
        <v>0</v>
      </c>
      <c r="R262" s="6">
        <v>0</v>
      </c>
      <c r="S262" s="6">
        <v>36.017000000000003</v>
      </c>
      <c r="T262" s="9">
        <f t="shared" si="13"/>
        <v>36.017000000000003</v>
      </c>
    </row>
    <row r="263" spans="1:20" x14ac:dyDescent="0.25">
      <c r="A263" s="6" t="str">
        <f>"00023272"</f>
        <v>00023272</v>
      </c>
      <c r="B263" s="6" t="s">
        <v>119</v>
      </c>
      <c r="C263" s="6"/>
      <c r="D263" s="6"/>
      <c r="E263" s="6">
        <v>825</v>
      </c>
      <c r="F263" s="6">
        <v>10708.856417722</v>
      </c>
      <c r="G263" s="6">
        <v>10158.055396599</v>
      </c>
      <c r="H263" s="6">
        <v>0</v>
      </c>
      <c r="I263" s="6">
        <v>0</v>
      </c>
      <c r="J263" s="6">
        <v>0</v>
      </c>
      <c r="K263" s="6">
        <v>2.9166699999999999</v>
      </c>
      <c r="L263" s="6">
        <v>0</v>
      </c>
      <c r="M263" s="6">
        <v>1103.9000000000001</v>
      </c>
      <c r="N263" s="6">
        <v>993.51</v>
      </c>
      <c r="O263" s="6">
        <v>0</v>
      </c>
      <c r="P263" s="6">
        <v>0</v>
      </c>
      <c r="Q263" s="6">
        <v>288.50182186569998</v>
      </c>
      <c r="R263" s="6">
        <v>288.50182186569998</v>
      </c>
      <c r="S263" s="6">
        <v>655.95299999999997</v>
      </c>
      <c r="T263" s="9">
        <f t="shared" si="13"/>
        <v>12096.020218464701</v>
      </c>
    </row>
    <row r="264" spans="1:20" x14ac:dyDescent="0.25">
      <c r="A264" s="6" t="str">
        <f>"75032333"</f>
        <v>75032333</v>
      </c>
      <c r="B264" s="6" t="s">
        <v>120</v>
      </c>
      <c r="C264" s="6"/>
      <c r="D264" s="6"/>
      <c r="E264" s="6">
        <v>540</v>
      </c>
      <c r="F264" s="6">
        <v>5215.2189008777004</v>
      </c>
      <c r="G264" s="6">
        <v>4762.3179193968999</v>
      </c>
      <c r="H264" s="6">
        <v>0</v>
      </c>
      <c r="I264" s="6">
        <v>0</v>
      </c>
      <c r="J264" s="6">
        <v>0</v>
      </c>
      <c r="K264" s="6">
        <v>1.5</v>
      </c>
      <c r="L264" s="6">
        <v>0</v>
      </c>
      <c r="M264" s="6">
        <v>583.64800000000002</v>
      </c>
      <c r="N264" s="6">
        <v>525.28300000000002</v>
      </c>
      <c r="O264" s="6">
        <v>0</v>
      </c>
      <c r="P264" s="6">
        <v>0</v>
      </c>
      <c r="Q264" s="6">
        <v>723.35077900279998</v>
      </c>
      <c r="R264" s="6">
        <v>723.35077900279998</v>
      </c>
      <c r="S264" s="6">
        <v>1845.51</v>
      </c>
      <c r="T264" s="9">
        <f t="shared" si="13"/>
        <v>7856.4616983997003</v>
      </c>
    </row>
    <row r="265" spans="1:20" x14ac:dyDescent="0.25">
      <c r="A265" s="6" t="str">
        <f>"61387169"</f>
        <v>61387169</v>
      </c>
      <c r="B265" s="6" t="s">
        <v>121</v>
      </c>
      <c r="C265" s="6"/>
      <c r="D265" s="6"/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/>
      <c r="Q265" s="6">
        <v>0</v>
      </c>
      <c r="R265" s="6">
        <v>0</v>
      </c>
      <c r="S265" s="6">
        <v>0</v>
      </c>
      <c r="T265" s="9">
        <f t="shared" si="13"/>
        <v>0</v>
      </c>
    </row>
    <row r="266" spans="1:20" x14ac:dyDescent="0.25">
      <c r="A266" s="6" t="str">
        <f>"61387142"</f>
        <v>61387142</v>
      </c>
      <c r="B266" s="6" t="s">
        <v>122</v>
      </c>
      <c r="C266" s="6"/>
      <c r="D266" s="6"/>
      <c r="E266" s="6">
        <v>23</v>
      </c>
      <c r="F266" s="6">
        <v>80.727000117301998</v>
      </c>
      <c r="G266" s="6">
        <v>77.840001225470999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/>
      <c r="Q266" s="6">
        <v>0</v>
      </c>
      <c r="R266" s="6">
        <v>0</v>
      </c>
      <c r="S266" s="6">
        <v>0</v>
      </c>
      <c r="T266" s="9">
        <f t="shared" si="13"/>
        <v>77.840001225470999</v>
      </c>
    </row>
    <row r="267" spans="1:20" x14ac:dyDescent="0.25">
      <c r="A267" s="6" t="str">
        <f>"00023299"</f>
        <v>00023299</v>
      </c>
      <c r="B267" s="6" t="s">
        <v>123</v>
      </c>
      <c r="C267" s="6"/>
      <c r="D267" s="6"/>
      <c r="E267" s="6">
        <v>178</v>
      </c>
      <c r="F267" s="6">
        <v>1078.0343086933999</v>
      </c>
      <c r="G267" s="6">
        <v>964.11017932130005</v>
      </c>
      <c r="H267" s="6">
        <v>0</v>
      </c>
      <c r="I267" s="6">
        <v>0</v>
      </c>
      <c r="J267" s="6">
        <v>0</v>
      </c>
      <c r="K267" s="6">
        <v>1</v>
      </c>
      <c r="L267" s="6">
        <v>0</v>
      </c>
      <c r="M267" s="6">
        <v>93.739500000000007</v>
      </c>
      <c r="N267" s="6">
        <v>84.365499999999997</v>
      </c>
      <c r="O267" s="6">
        <v>0</v>
      </c>
      <c r="P267" s="6">
        <v>0</v>
      </c>
      <c r="Q267" s="6">
        <v>181.8909196621</v>
      </c>
      <c r="R267" s="6">
        <v>181.8909196621</v>
      </c>
      <c r="S267" s="6">
        <v>237.608</v>
      </c>
      <c r="T267" s="9">
        <f t="shared" si="13"/>
        <v>1467.9745989834</v>
      </c>
    </row>
    <row r="268" spans="1:20" x14ac:dyDescent="0.25">
      <c r="A268" s="6" t="str">
        <f>"00023752"</f>
        <v>00023752</v>
      </c>
      <c r="B268" s="6" t="s">
        <v>124</v>
      </c>
      <c r="C268" s="6"/>
      <c r="D268" s="6"/>
      <c r="E268" s="6">
        <v>295</v>
      </c>
      <c r="F268" s="6">
        <v>3058.3796587024999</v>
      </c>
      <c r="G268" s="6">
        <v>2797.4333884980001</v>
      </c>
      <c r="H268" s="6">
        <v>0</v>
      </c>
      <c r="I268" s="6">
        <v>0</v>
      </c>
      <c r="J268" s="6">
        <v>0</v>
      </c>
      <c r="K268" s="6">
        <v>1.36</v>
      </c>
      <c r="L268" s="6">
        <v>1</v>
      </c>
      <c r="M268" s="6">
        <v>449.75299999999999</v>
      </c>
      <c r="N268" s="6">
        <v>495.404</v>
      </c>
      <c r="O268" s="6">
        <v>0</v>
      </c>
      <c r="P268" s="6">
        <v>0</v>
      </c>
      <c r="Q268" s="6">
        <v>507.3476427905</v>
      </c>
      <c r="R268" s="6">
        <v>507.3476427905</v>
      </c>
      <c r="S268" s="6">
        <v>1176.76</v>
      </c>
      <c r="T268" s="9">
        <f t="shared" si="13"/>
        <v>4976.9450312885001</v>
      </c>
    </row>
    <row r="269" spans="1:20" x14ac:dyDescent="0.25">
      <c r="A269" s="6" t="str">
        <f>"00094927"</f>
        <v>00094927</v>
      </c>
      <c r="B269" s="6" t="s">
        <v>125</v>
      </c>
      <c r="C269" s="6"/>
      <c r="D269" s="6"/>
      <c r="E269" s="6">
        <v>66</v>
      </c>
      <c r="F269" s="6">
        <v>1152.6993061986</v>
      </c>
      <c r="G269" s="6">
        <v>1043.281422773</v>
      </c>
      <c r="H269" s="6">
        <v>0</v>
      </c>
      <c r="I269" s="6">
        <v>0</v>
      </c>
      <c r="J269" s="6">
        <v>0</v>
      </c>
      <c r="K269" s="6">
        <v>1</v>
      </c>
      <c r="L269" s="6">
        <v>0</v>
      </c>
      <c r="M269" s="6">
        <v>82.724400000000003</v>
      </c>
      <c r="N269" s="6">
        <v>74.451999999999998</v>
      </c>
      <c r="O269" s="6">
        <v>0</v>
      </c>
      <c r="P269" s="6">
        <v>0</v>
      </c>
      <c r="Q269" s="6">
        <v>190.45987573799999</v>
      </c>
      <c r="R269" s="6">
        <v>190.45987573799999</v>
      </c>
      <c r="S269" s="6">
        <v>156.37200000000001</v>
      </c>
      <c r="T269" s="9">
        <f t="shared" si="13"/>
        <v>1464.565298511</v>
      </c>
    </row>
    <row r="270" spans="1:20" x14ac:dyDescent="0.25">
      <c r="A270" s="6" t="str">
        <f>"75075741"</f>
        <v>75075741</v>
      </c>
      <c r="B270" s="6" t="s">
        <v>126</v>
      </c>
      <c r="C270" s="6"/>
      <c r="D270" s="6"/>
      <c r="E270" s="6">
        <v>99</v>
      </c>
      <c r="F270" s="6">
        <v>1004.3831600505</v>
      </c>
      <c r="G270" s="6">
        <v>946.04755668662995</v>
      </c>
      <c r="H270" s="6">
        <v>0</v>
      </c>
      <c r="I270" s="6">
        <v>0</v>
      </c>
      <c r="J270" s="6">
        <v>0</v>
      </c>
      <c r="K270" s="6">
        <v>1</v>
      </c>
      <c r="L270" s="6">
        <v>0</v>
      </c>
      <c r="M270" s="6">
        <v>94.911299999999997</v>
      </c>
      <c r="N270" s="6">
        <v>85.420199999999994</v>
      </c>
      <c r="O270" s="6">
        <v>0</v>
      </c>
      <c r="P270" s="6">
        <v>0</v>
      </c>
      <c r="Q270" s="6">
        <v>74.032508340099994</v>
      </c>
      <c r="R270" s="6">
        <v>74.032508340099994</v>
      </c>
      <c r="S270" s="6">
        <v>76.364000000000004</v>
      </c>
      <c r="T270" s="9">
        <f t="shared" si="13"/>
        <v>1181.86426502673</v>
      </c>
    </row>
    <row r="271" spans="1:20" x14ac:dyDescent="0.25">
      <c r="A271" s="6" t="str">
        <f>"67985998"</f>
        <v>67985998</v>
      </c>
      <c r="B271" s="6" t="s">
        <v>127</v>
      </c>
      <c r="C271" s="6"/>
      <c r="D271" s="6"/>
      <c r="E271" s="6">
        <v>143</v>
      </c>
      <c r="F271" s="6">
        <v>2865.0610843569002</v>
      </c>
      <c r="G271" s="6">
        <v>2597.4324919064002</v>
      </c>
      <c r="H271" s="6">
        <v>0</v>
      </c>
      <c r="I271" s="6">
        <v>0</v>
      </c>
      <c r="J271" s="6">
        <v>0</v>
      </c>
      <c r="K271" s="6">
        <v>3.234</v>
      </c>
      <c r="L271" s="6">
        <v>3</v>
      </c>
      <c r="M271" s="6">
        <v>630.91399999999999</v>
      </c>
      <c r="N271" s="6">
        <v>839.08699999999999</v>
      </c>
      <c r="O271" s="6">
        <v>0</v>
      </c>
      <c r="P271" s="6">
        <v>0</v>
      </c>
      <c r="Q271" s="6">
        <v>122.4604032985</v>
      </c>
      <c r="R271" s="6">
        <v>122.4604032985</v>
      </c>
      <c r="S271" s="6">
        <v>180.33099999999999</v>
      </c>
      <c r="T271" s="9">
        <f t="shared" si="13"/>
        <v>3739.3108952049001</v>
      </c>
    </row>
    <row r="272" spans="1:20" x14ac:dyDescent="0.25">
      <c r="A272" s="6" t="str">
        <f>"00064211"</f>
        <v>00064211</v>
      </c>
      <c r="B272" s="6" t="s">
        <v>128</v>
      </c>
      <c r="C272" s="6"/>
      <c r="D272" s="6"/>
      <c r="E272" s="6">
        <v>136</v>
      </c>
      <c r="F272" s="6">
        <v>1322.8135239585999</v>
      </c>
      <c r="G272" s="6">
        <v>1220.2069809720001</v>
      </c>
      <c r="H272" s="6">
        <v>0</v>
      </c>
      <c r="I272" s="6">
        <v>0</v>
      </c>
      <c r="J272" s="6">
        <v>0</v>
      </c>
      <c r="K272" s="6">
        <v>0.66666700000000001</v>
      </c>
      <c r="L272" s="6">
        <v>0</v>
      </c>
      <c r="M272" s="6">
        <v>144.99299999999999</v>
      </c>
      <c r="N272" s="6">
        <v>130.494</v>
      </c>
      <c r="O272" s="6">
        <v>0</v>
      </c>
      <c r="P272" s="6">
        <v>0</v>
      </c>
      <c r="Q272" s="6">
        <v>135.91714100230001</v>
      </c>
      <c r="R272" s="6">
        <v>135.91714100230001</v>
      </c>
      <c r="S272" s="6">
        <v>254.69800000000001</v>
      </c>
      <c r="T272" s="9">
        <f t="shared" si="13"/>
        <v>1741.3161219743001</v>
      </c>
    </row>
    <row r="273" spans="1:20" x14ac:dyDescent="0.25">
      <c r="A273" s="6" t="str">
        <f>"00023884"</f>
        <v>00023884</v>
      </c>
      <c r="B273" s="6" t="s">
        <v>129</v>
      </c>
      <c r="C273" s="6"/>
      <c r="D273" s="6"/>
      <c r="E273" s="6">
        <v>199</v>
      </c>
      <c r="F273" s="6">
        <v>3410.6095345911999</v>
      </c>
      <c r="G273" s="6">
        <v>3108.0994871410999</v>
      </c>
      <c r="H273" s="6">
        <v>0</v>
      </c>
      <c r="I273" s="6">
        <v>0</v>
      </c>
      <c r="J273" s="6">
        <v>0</v>
      </c>
      <c r="K273" s="6">
        <v>1.7368399999999999</v>
      </c>
      <c r="L273" s="6">
        <v>0</v>
      </c>
      <c r="M273" s="6">
        <v>457.50900000000001</v>
      </c>
      <c r="N273" s="6">
        <v>411.75799999999998</v>
      </c>
      <c r="O273" s="6">
        <v>0</v>
      </c>
      <c r="P273" s="6">
        <v>0</v>
      </c>
      <c r="Q273" s="6">
        <v>71.087568781900004</v>
      </c>
      <c r="R273" s="6">
        <v>71.087568781900004</v>
      </c>
      <c r="S273" s="6">
        <v>251.916</v>
      </c>
      <c r="T273" s="9">
        <f t="shared" si="13"/>
        <v>3842.8610559229996</v>
      </c>
    </row>
    <row r="274" spans="1:20" x14ac:dyDescent="0.25">
      <c r="A274" s="6" t="str">
        <f>"27081869"</f>
        <v>27081869</v>
      </c>
      <c r="B274" s="6" t="s">
        <v>130</v>
      </c>
      <c r="C274" s="6"/>
      <c r="D274" s="6"/>
      <c r="E274" s="6">
        <v>11</v>
      </c>
      <c r="F274" s="6">
        <v>18.788999974728</v>
      </c>
      <c r="G274" s="6">
        <v>20.291999876498998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/>
      <c r="Q274" s="6">
        <v>0</v>
      </c>
      <c r="R274" s="6">
        <v>0</v>
      </c>
      <c r="S274" s="6">
        <v>0</v>
      </c>
      <c r="T274" s="9">
        <f t="shared" si="13"/>
        <v>20.291999876498998</v>
      </c>
    </row>
    <row r="275" spans="1:20" x14ac:dyDescent="0.25">
      <c r="A275" s="6" t="str">
        <f>"68378009"</f>
        <v>68378009</v>
      </c>
      <c r="B275" s="6" t="s">
        <v>131</v>
      </c>
      <c r="C275" s="6"/>
      <c r="D275" s="6"/>
      <c r="E275" s="6">
        <v>99</v>
      </c>
      <c r="F275" s="6">
        <v>1563.4787848526</v>
      </c>
      <c r="G275" s="6">
        <v>1549.0470160614</v>
      </c>
      <c r="H275" s="6">
        <v>0</v>
      </c>
      <c r="I275" s="6">
        <v>0</v>
      </c>
      <c r="J275" s="6">
        <v>0</v>
      </c>
      <c r="K275" s="6">
        <v>2</v>
      </c>
      <c r="L275" s="6">
        <v>0</v>
      </c>
      <c r="M275" s="6">
        <v>204.94399999999999</v>
      </c>
      <c r="N275" s="6">
        <v>184.45</v>
      </c>
      <c r="O275" s="6">
        <v>0</v>
      </c>
      <c r="P275" s="6">
        <v>0</v>
      </c>
      <c r="Q275" s="6">
        <v>3.0676453732</v>
      </c>
      <c r="R275" s="6">
        <v>3.0676453732</v>
      </c>
      <c r="S275" s="6">
        <v>0.80100000000000005</v>
      </c>
      <c r="T275" s="9">
        <f t="shared" si="13"/>
        <v>1737.3656614346</v>
      </c>
    </row>
    <row r="276" spans="1:20" x14ac:dyDescent="0.25">
      <c r="A276" s="6" t="str">
        <f>"26791251"</f>
        <v>26791251</v>
      </c>
      <c r="B276" s="6" t="s">
        <v>132</v>
      </c>
      <c r="C276" s="6"/>
      <c r="D276" s="6"/>
      <c r="E276" s="6">
        <v>47</v>
      </c>
      <c r="F276" s="6">
        <v>152.19529931835999</v>
      </c>
      <c r="G276" s="6">
        <v>150.73593362107999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117.036</v>
      </c>
      <c r="N276" s="6">
        <v>105.33199999999999</v>
      </c>
      <c r="O276" s="6">
        <v>50</v>
      </c>
      <c r="P276" s="6">
        <v>50</v>
      </c>
      <c r="Q276" s="6">
        <v>107.060823525</v>
      </c>
      <c r="R276" s="6">
        <v>157.06082352499999</v>
      </c>
      <c r="S276" s="6">
        <v>653.05899999999997</v>
      </c>
      <c r="T276" s="9">
        <f t="shared" si="13"/>
        <v>1066.18775714608</v>
      </c>
    </row>
    <row r="277" spans="1:20" x14ac:dyDescent="0.25">
      <c r="A277" s="6" t="str">
        <f t="shared" ref="A277:A293" si="14">"61988987"</f>
        <v>61988987</v>
      </c>
      <c r="B277" s="6" t="s">
        <v>133</v>
      </c>
      <c r="C277" s="6"/>
      <c r="D277" s="6" t="s">
        <v>246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/>
      <c r="Q277" s="6">
        <v>0</v>
      </c>
      <c r="R277" s="6">
        <v>0</v>
      </c>
      <c r="S277" s="6">
        <v>0</v>
      </c>
      <c r="T277" s="9">
        <f t="shared" si="13"/>
        <v>0</v>
      </c>
    </row>
    <row r="278" spans="1:20" x14ac:dyDescent="0.25">
      <c r="A278" s="6" t="str">
        <f t="shared" si="14"/>
        <v>61988987</v>
      </c>
      <c r="B278" s="6" t="s">
        <v>133</v>
      </c>
      <c r="C278" s="6"/>
      <c r="D278" s="6"/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9.4666700000000006</v>
      </c>
      <c r="L278" s="6">
        <v>0</v>
      </c>
      <c r="M278" s="6">
        <v>2.9000000000000001E-2</v>
      </c>
      <c r="N278" s="6">
        <v>2.6100000000000002E-2</v>
      </c>
      <c r="O278" s="6">
        <v>0</v>
      </c>
      <c r="P278" s="6"/>
      <c r="Q278" s="6">
        <v>0</v>
      </c>
      <c r="R278" s="6">
        <v>0</v>
      </c>
      <c r="S278" s="6">
        <v>0</v>
      </c>
      <c r="T278" s="9">
        <f t="shared" si="13"/>
        <v>2.6100000000000002E-2</v>
      </c>
    </row>
    <row r="279" spans="1:20" x14ac:dyDescent="0.25">
      <c r="A279" s="6" t="str">
        <f t="shared" si="14"/>
        <v>61988987</v>
      </c>
      <c r="B279" s="6" t="s">
        <v>133</v>
      </c>
      <c r="C279" s="6">
        <v>17110</v>
      </c>
      <c r="D279" s="6" t="s">
        <v>328</v>
      </c>
      <c r="E279" s="6">
        <v>387</v>
      </c>
      <c r="F279" s="6">
        <v>4042.256371297</v>
      </c>
      <c r="G279" s="6">
        <v>3605.5435225607998</v>
      </c>
      <c r="H279" s="6">
        <v>0</v>
      </c>
      <c r="I279" s="6">
        <v>0</v>
      </c>
      <c r="J279" s="6">
        <v>0</v>
      </c>
      <c r="K279" s="6">
        <v>9.4666700000000006</v>
      </c>
      <c r="L279" s="6">
        <v>0</v>
      </c>
      <c r="M279" s="6">
        <v>303.24400000000003</v>
      </c>
      <c r="N279" s="6">
        <v>272.92</v>
      </c>
      <c r="O279" s="6">
        <v>0</v>
      </c>
      <c r="P279" s="6">
        <v>0</v>
      </c>
      <c r="Q279" s="6">
        <v>110.7215470037</v>
      </c>
      <c r="R279" s="6">
        <v>110.7215470037</v>
      </c>
      <c r="S279" s="6">
        <v>157.84200000000001</v>
      </c>
      <c r="T279" s="9">
        <f t="shared" si="13"/>
        <v>4147.0270695644995</v>
      </c>
    </row>
    <row r="280" spans="1:20" x14ac:dyDescent="0.25">
      <c r="A280" s="6" t="str">
        <f t="shared" si="14"/>
        <v>61988987</v>
      </c>
      <c r="B280" s="6" t="s">
        <v>133</v>
      </c>
      <c r="C280" s="6">
        <v>17200</v>
      </c>
      <c r="D280" s="6" t="s">
        <v>330</v>
      </c>
      <c r="E280" s="6">
        <v>66</v>
      </c>
      <c r="F280" s="6">
        <v>787.79130582421999</v>
      </c>
      <c r="G280" s="6">
        <v>620.89985985353997</v>
      </c>
      <c r="H280" s="6">
        <v>0</v>
      </c>
      <c r="I280" s="6">
        <v>0</v>
      </c>
      <c r="J280" s="6">
        <v>0</v>
      </c>
      <c r="K280" s="6">
        <v>9.4666700000000006</v>
      </c>
      <c r="L280" s="6">
        <v>0</v>
      </c>
      <c r="M280" s="6">
        <v>56.64</v>
      </c>
      <c r="N280" s="6">
        <v>50.975999999999999</v>
      </c>
      <c r="O280" s="6">
        <v>0</v>
      </c>
      <c r="P280" s="6"/>
      <c r="Q280" s="6">
        <v>0</v>
      </c>
      <c r="R280" s="6">
        <v>0</v>
      </c>
      <c r="S280" s="6">
        <v>0</v>
      </c>
      <c r="T280" s="9">
        <f t="shared" si="13"/>
        <v>671.87585985353996</v>
      </c>
    </row>
    <row r="281" spans="1:20" x14ac:dyDescent="0.25">
      <c r="A281" s="6" t="str">
        <f t="shared" si="14"/>
        <v>61988987</v>
      </c>
      <c r="B281" s="6" t="s">
        <v>133</v>
      </c>
      <c r="C281" s="6">
        <v>17250</v>
      </c>
      <c r="D281" s="6" t="s">
        <v>307</v>
      </c>
      <c r="E281" s="6">
        <v>887</v>
      </c>
      <c r="F281" s="6">
        <v>9629.8915759674001</v>
      </c>
      <c r="G281" s="6">
        <v>9129.1501663938998</v>
      </c>
      <c r="H281" s="6">
        <v>0</v>
      </c>
      <c r="I281" s="6">
        <v>0</v>
      </c>
      <c r="J281" s="6">
        <v>0</v>
      </c>
      <c r="K281" s="6">
        <v>9.4666700000000006</v>
      </c>
      <c r="L281" s="6">
        <v>0</v>
      </c>
      <c r="M281" s="6">
        <v>932.21</v>
      </c>
      <c r="N281" s="6">
        <v>838.98900000000003</v>
      </c>
      <c r="O281" s="6">
        <v>0</v>
      </c>
      <c r="P281" s="6">
        <v>0</v>
      </c>
      <c r="Q281" s="6">
        <v>9.5097006568999998</v>
      </c>
      <c r="R281" s="6">
        <v>9.5097006568999998</v>
      </c>
      <c r="S281" s="6">
        <v>19.135999999999999</v>
      </c>
      <c r="T281" s="9">
        <f t="shared" si="13"/>
        <v>9996.7848670507992</v>
      </c>
    </row>
    <row r="282" spans="1:20" x14ac:dyDescent="0.25">
      <c r="A282" s="6" t="str">
        <f t="shared" si="14"/>
        <v>61988987</v>
      </c>
      <c r="B282" s="6" t="s">
        <v>133</v>
      </c>
      <c r="C282" s="6">
        <v>17310</v>
      </c>
      <c r="D282" s="6" t="s">
        <v>310</v>
      </c>
      <c r="E282" s="6">
        <v>612</v>
      </c>
      <c r="F282" s="6">
        <v>9170.7634466456002</v>
      </c>
      <c r="G282" s="6">
        <v>8676.6386860024995</v>
      </c>
      <c r="H282" s="6">
        <v>0</v>
      </c>
      <c r="I282" s="6">
        <v>0</v>
      </c>
      <c r="J282" s="6">
        <v>0</v>
      </c>
      <c r="K282" s="6">
        <v>9.4666700000000006</v>
      </c>
      <c r="L282" s="6">
        <v>0</v>
      </c>
      <c r="M282" s="6">
        <v>807.84299999999996</v>
      </c>
      <c r="N282" s="6">
        <v>727.05899999999997</v>
      </c>
      <c r="O282" s="6">
        <v>0</v>
      </c>
      <c r="P282" s="6">
        <v>0</v>
      </c>
      <c r="Q282" s="6">
        <v>18.630832900000001</v>
      </c>
      <c r="R282" s="6">
        <v>18.630832900000001</v>
      </c>
      <c r="S282" s="6">
        <v>174.41</v>
      </c>
      <c r="T282" s="9">
        <f t="shared" si="13"/>
        <v>9596.738518902499</v>
      </c>
    </row>
    <row r="283" spans="1:20" x14ac:dyDescent="0.25">
      <c r="A283" s="6" t="str">
        <f t="shared" si="14"/>
        <v>61988987</v>
      </c>
      <c r="B283" s="6" t="s">
        <v>133</v>
      </c>
      <c r="C283" s="6">
        <v>17450</v>
      </c>
      <c r="D283" s="6" t="s">
        <v>311</v>
      </c>
      <c r="E283" s="6">
        <v>404</v>
      </c>
      <c r="F283" s="6">
        <v>5004.2015054865997</v>
      </c>
      <c r="G283" s="6">
        <v>4544.5457855942004</v>
      </c>
      <c r="H283" s="6">
        <v>0</v>
      </c>
      <c r="I283" s="6">
        <v>0</v>
      </c>
      <c r="J283" s="6">
        <v>0</v>
      </c>
      <c r="K283" s="6">
        <v>9.4666700000000006</v>
      </c>
      <c r="L283" s="6">
        <v>0</v>
      </c>
      <c r="M283" s="6">
        <v>485.88099999999997</v>
      </c>
      <c r="N283" s="6">
        <v>437.29300000000001</v>
      </c>
      <c r="O283" s="6">
        <v>0</v>
      </c>
      <c r="P283" s="6"/>
      <c r="Q283" s="6">
        <v>0</v>
      </c>
      <c r="R283" s="6">
        <v>0</v>
      </c>
      <c r="S283" s="6">
        <v>45.39</v>
      </c>
      <c r="T283" s="9">
        <f t="shared" si="13"/>
        <v>5027.2287855942004</v>
      </c>
    </row>
    <row r="284" spans="1:20" x14ac:dyDescent="0.25">
      <c r="A284" s="6" t="str">
        <f t="shared" si="14"/>
        <v>61988987</v>
      </c>
      <c r="B284" s="6" t="s">
        <v>133</v>
      </c>
      <c r="C284" s="6">
        <v>17500</v>
      </c>
      <c r="D284" s="6" t="s">
        <v>422</v>
      </c>
      <c r="E284" s="6">
        <v>39</v>
      </c>
      <c r="F284" s="6">
        <v>333.67285523565999</v>
      </c>
      <c r="G284" s="6">
        <v>289.72235988706001</v>
      </c>
      <c r="H284" s="6">
        <v>0</v>
      </c>
      <c r="I284" s="6">
        <v>0</v>
      </c>
      <c r="J284" s="6">
        <v>0</v>
      </c>
      <c r="K284" s="6">
        <v>9.4666700000000006</v>
      </c>
      <c r="L284" s="6">
        <v>0</v>
      </c>
      <c r="M284" s="6">
        <v>39.762999999999998</v>
      </c>
      <c r="N284" s="6">
        <v>35.786700000000003</v>
      </c>
      <c r="O284" s="6">
        <v>0</v>
      </c>
      <c r="P284" s="6"/>
      <c r="Q284" s="6">
        <v>0</v>
      </c>
      <c r="R284" s="6">
        <v>0</v>
      </c>
      <c r="S284" s="6">
        <v>0</v>
      </c>
      <c r="T284" s="9">
        <f t="shared" si="13"/>
        <v>325.50905988706</v>
      </c>
    </row>
    <row r="285" spans="1:20" x14ac:dyDescent="0.25">
      <c r="A285" s="6" t="str">
        <f t="shared" si="14"/>
        <v>61988987</v>
      </c>
      <c r="B285" s="6" t="s">
        <v>133</v>
      </c>
      <c r="C285" s="6">
        <v>17610</v>
      </c>
      <c r="D285" s="6" t="s">
        <v>423</v>
      </c>
      <c r="E285" s="6">
        <v>255</v>
      </c>
      <c r="F285" s="6">
        <v>8368.5882958897</v>
      </c>
      <c r="G285" s="6">
        <v>7146.6554911167996</v>
      </c>
      <c r="H285" s="6">
        <v>0</v>
      </c>
      <c r="I285" s="6">
        <v>0</v>
      </c>
      <c r="J285" s="6">
        <v>0</v>
      </c>
      <c r="K285" s="6">
        <v>9.4666700000000006</v>
      </c>
      <c r="L285" s="6">
        <v>1</v>
      </c>
      <c r="M285" s="6">
        <v>678.12300000000005</v>
      </c>
      <c r="N285" s="6">
        <v>714.40200000000004</v>
      </c>
      <c r="O285" s="6">
        <v>0</v>
      </c>
      <c r="P285" s="6">
        <v>0</v>
      </c>
      <c r="Q285" s="6">
        <v>13.293129950599999</v>
      </c>
      <c r="R285" s="6">
        <v>13.293129950599999</v>
      </c>
      <c r="S285" s="6">
        <v>201.005</v>
      </c>
      <c r="T285" s="9">
        <f t="shared" si="13"/>
        <v>8075.3556210673996</v>
      </c>
    </row>
    <row r="286" spans="1:20" x14ac:dyDescent="0.25">
      <c r="A286" s="6" t="str">
        <f t="shared" si="14"/>
        <v>61988987</v>
      </c>
      <c r="B286" s="6" t="s">
        <v>133</v>
      </c>
      <c r="C286" s="6">
        <v>17620</v>
      </c>
      <c r="D286" s="6" t="s">
        <v>424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/>
      <c r="Q286" s="6">
        <v>0</v>
      </c>
      <c r="R286" s="6">
        <v>0</v>
      </c>
      <c r="S286" s="6">
        <v>0</v>
      </c>
      <c r="T286" s="9">
        <f t="shared" si="13"/>
        <v>0</v>
      </c>
    </row>
    <row r="287" spans="1:20" x14ac:dyDescent="0.25">
      <c r="A287" s="6" t="str">
        <f t="shared" si="14"/>
        <v>61988987</v>
      </c>
      <c r="B287" s="6" t="s">
        <v>133</v>
      </c>
      <c r="C287" s="6">
        <v>17630</v>
      </c>
      <c r="D287" s="6" t="s">
        <v>320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9.4666700000000006</v>
      </c>
      <c r="L287" s="6">
        <v>0</v>
      </c>
      <c r="M287" s="6">
        <v>4.4320000000000004</v>
      </c>
      <c r="N287" s="6">
        <v>3.9887999999999999</v>
      </c>
      <c r="O287" s="6">
        <v>0</v>
      </c>
      <c r="P287" s="6"/>
      <c r="Q287" s="6">
        <v>0</v>
      </c>
      <c r="R287" s="6">
        <v>0</v>
      </c>
      <c r="S287" s="6">
        <v>0</v>
      </c>
      <c r="T287" s="9">
        <f t="shared" si="13"/>
        <v>3.9887999999999999</v>
      </c>
    </row>
    <row r="288" spans="1:20" x14ac:dyDescent="0.25">
      <c r="A288" s="6" t="str">
        <f t="shared" si="14"/>
        <v>61988987</v>
      </c>
      <c r="B288" s="6" t="s">
        <v>133</v>
      </c>
      <c r="C288" s="6">
        <v>17640</v>
      </c>
      <c r="D288" s="6" t="s">
        <v>425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/>
      <c r="Q288" s="6">
        <v>0</v>
      </c>
      <c r="R288" s="6">
        <v>0</v>
      </c>
      <c r="S288" s="6">
        <v>0</v>
      </c>
      <c r="T288" s="9">
        <f t="shared" si="13"/>
        <v>0</v>
      </c>
    </row>
    <row r="289" spans="1:20" x14ac:dyDescent="0.25">
      <c r="A289" s="6" t="str">
        <f t="shared" si="14"/>
        <v>61988987</v>
      </c>
      <c r="B289" s="6" t="s">
        <v>133</v>
      </c>
      <c r="C289" s="6">
        <v>17650</v>
      </c>
      <c r="D289" s="6" t="s">
        <v>426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/>
      <c r="Q289" s="6">
        <v>0</v>
      </c>
      <c r="R289" s="6">
        <v>0</v>
      </c>
      <c r="S289" s="6">
        <v>0</v>
      </c>
      <c r="T289" s="9">
        <f t="shared" si="13"/>
        <v>0</v>
      </c>
    </row>
    <row r="290" spans="1:20" x14ac:dyDescent="0.25">
      <c r="A290" s="6" t="str">
        <f t="shared" si="14"/>
        <v>61988987</v>
      </c>
      <c r="B290" s="6" t="s">
        <v>133</v>
      </c>
      <c r="C290" s="6">
        <v>17660</v>
      </c>
      <c r="D290" s="6" t="s">
        <v>427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/>
      <c r="Q290" s="6">
        <v>0</v>
      </c>
      <c r="R290" s="6">
        <v>0</v>
      </c>
      <c r="S290" s="6">
        <v>0</v>
      </c>
      <c r="T290" s="9">
        <f t="shared" si="13"/>
        <v>0</v>
      </c>
    </row>
    <row r="291" spans="1:20" x14ac:dyDescent="0.25">
      <c r="A291" s="6" t="str">
        <f t="shared" si="14"/>
        <v>61988987</v>
      </c>
      <c r="B291" s="6" t="s">
        <v>133</v>
      </c>
      <c r="C291" s="6">
        <v>17670</v>
      </c>
      <c r="D291" s="6" t="s">
        <v>428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/>
      <c r="Q291" s="6">
        <v>0</v>
      </c>
      <c r="R291" s="6">
        <v>0</v>
      </c>
      <c r="S291" s="6">
        <v>0</v>
      </c>
      <c r="T291" s="9">
        <f t="shared" si="13"/>
        <v>0</v>
      </c>
    </row>
    <row r="292" spans="1:20" x14ac:dyDescent="0.25">
      <c r="A292" s="6" t="str">
        <f t="shared" si="14"/>
        <v>61988987</v>
      </c>
      <c r="B292" s="6" t="s">
        <v>133</v>
      </c>
      <c r="C292" s="6">
        <v>17810</v>
      </c>
      <c r="D292" s="6" t="s">
        <v>258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/>
      <c r="Q292" s="6">
        <v>0</v>
      </c>
      <c r="R292" s="6">
        <v>0</v>
      </c>
      <c r="S292" s="6">
        <v>0</v>
      </c>
      <c r="T292" s="9">
        <f t="shared" si="13"/>
        <v>0</v>
      </c>
    </row>
    <row r="293" spans="1:20" x14ac:dyDescent="0.25">
      <c r="A293" s="6" t="str">
        <f t="shared" si="14"/>
        <v>61988987</v>
      </c>
      <c r="B293" s="6" t="s">
        <v>133</v>
      </c>
      <c r="C293" s="6" t="s">
        <v>429</v>
      </c>
      <c r="D293" s="6" t="s">
        <v>257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/>
      <c r="Q293" s="6">
        <v>0</v>
      </c>
      <c r="R293" s="6">
        <v>0</v>
      </c>
      <c r="S293" s="6">
        <v>0</v>
      </c>
      <c r="T293" s="9">
        <f t="shared" si="13"/>
        <v>0</v>
      </c>
    </row>
    <row r="294" spans="1:20" x14ac:dyDescent="0.25">
      <c r="A294" s="6" t="str">
        <f>"00023311"</f>
        <v>00023311</v>
      </c>
      <c r="B294" s="6" t="s">
        <v>134</v>
      </c>
      <c r="C294" s="6"/>
      <c r="D294" s="6"/>
      <c r="E294" s="6">
        <v>44</v>
      </c>
      <c r="F294" s="6">
        <v>387.88466660182002</v>
      </c>
      <c r="G294" s="6">
        <v>372.65857049943003</v>
      </c>
      <c r="H294" s="6">
        <v>0</v>
      </c>
      <c r="I294" s="6">
        <v>0</v>
      </c>
      <c r="J294" s="6">
        <v>0</v>
      </c>
      <c r="K294" s="6">
        <v>0.66666700000000001</v>
      </c>
      <c r="L294" s="6">
        <v>0</v>
      </c>
      <c r="M294" s="6">
        <v>22.9725</v>
      </c>
      <c r="N294" s="6">
        <v>20.6752</v>
      </c>
      <c r="O294" s="6">
        <v>0</v>
      </c>
      <c r="P294" s="6"/>
      <c r="Q294" s="6">
        <v>0</v>
      </c>
      <c r="R294" s="6">
        <v>0</v>
      </c>
      <c r="S294" s="6">
        <v>0</v>
      </c>
      <c r="T294" s="9">
        <f t="shared" si="13"/>
        <v>393.33377049943005</v>
      </c>
    </row>
    <row r="295" spans="1:20" x14ac:dyDescent="0.25">
      <c r="A295" s="6" t="str">
        <f>"48135445"</f>
        <v>48135445</v>
      </c>
      <c r="B295" s="6" t="s">
        <v>135</v>
      </c>
      <c r="C295" s="6"/>
      <c r="D295" s="6"/>
      <c r="E295" s="6">
        <v>161</v>
      </c>
      <c r="F295" s="6">
        <v>1549.600445024</v>
      </c>
      <c r="G295" s="6">
        <v>1461.6246928532</v>
      </c>
      <c r="H295" s="6">
        <v>0</v>
      </c>
      <c r="I295" s="6">
        <v>0</v>
      </c>
      <c r="J295" s="6">
        <v>0</v>
      </c>
      <c r="K295" s="6">
        <v>0.66666700000000001</v>
      </c>
      <c r="L295" s="6">
        <v>0</v>
      </c>
      <c r="M295" s="6">
        <v>192.917</v>
      </c>
      <c r="N295" s="6">
        <v>173.625</v>
      </c>
      <c r="O295" s="6">
        <v>0</v>
      </c>
      <c r="P295" s="6"/>
      <c r="Q295" s="6">
        <v>0</v>
      </c>
      <c r="R295" s="6">
        <v>0</v>
      </c>
      <c r="S295" s="6">
        <v>0</v>
      </c>
      <c r="T295" s="9">
        <f t="shared" si="13"/>
        <v>1635.2496928532</v>
      </c>
    </row>
    <row r="296" spans="1:20" x14ac:dyDescent="0.25">
      <c r="A296" s="6" t="str">
        <f>"68081740"</f>
        <v>68081740</v>
      </c>
      <c r="B296" s="6" t="s">
        <v>136</v>
      </c>
      <c r="C296" s="6"/>
      <c r="D296" s="6"/>
      <c r="E296" s="6">
        <v>191</v>
      </c>
      <c r="F296" s="6">
        <v>2133.5155010711001</v>
      </c>
      <c r="G296" s="6">
        <v>1746.0066122533001</v>
      </c>
      <c r="H296" s="6">
        <v>0</v>
      </c>
      <c r="I296" s="6">
        <v>0</v>
      </c>
      <c r="J296" s="6">
        <v>0</v>
      </c>
      <c r="K296" s="6">
        <v>2</v>
      </c>
      <c r="L296" s="6">
        <v>0</v>
      </c>
      <c r="M296" s="6">
        <v>219.584</v>
      </c>
      <c r="N296" s="6">
        <v>197.626</v>
      </c>
      <c r="O296" s="6">
        <v>0</v>
      </c>
      <c r="P296" s="6"/>
      <c r="Q296" s="6">
        <v>0</v>
      </c>
      <c r="R296" s="6">
        <v>0</v>
      </c>
      <c r="S296" s="6">
        <v>15.635300000000001</v>
      </c>
      <c r="T296" s="9">
        <f t="shared" si="13"/>
        <v>1959.2679122533</v>
      </c>
    </row>
    <row r="297" spans="1:20" x14ac:dyDescent="0.25">
      <c r="A297" s="6" t="str">
        <f>"00023728"</f>
        <v>00023728</v>
      </c>
      <c r="B297" s="6" t="s">
        <v>137</v>
      </c>
      <c r="C297" s="6"/>
      <c r="D297" s="6"/>
      <c r="E297" s="6">
        <v>226</v>
      </c>
      <c r="F297" s="6">
        <v>3055.1340758534002</v>
      </c>
      <c r="G297" s="6">
        <v>2809.8870514248001</v>
      </c>
      <c r="H297" s="6">
        <v>0</v>
      </c>
      <c r="I297" s="6">
        <v>0</v>
      </c>
      <c r="J297" s="6">
        <v>0</v>
      </c>
      <c r="K297" s="6">
        <v>0.461538</v>
      </c>
      <c r="L297" s="6">
        <v>0</v>
      </c>
      <c r="M297" s="6">
        <v>360.43400000000003</v>
      </c>
      <c r="N297" s="6">
        <v>324.39100000000002</v>
      </c>
      <c r="O297" s="6">
        <v>0</v>
      </c>
      <c r="P297" s="6">
        <v>0</v>
      </c>
      <c r="Q297" s="6">
        <v>297.8683657386</v>
      </c>
      <c r="R297" s="6">
        <v>297.8683657386</v>
      </c>
      <c r="S297" s="6">
        <v>659.83</v>
      </c>
      <c r="T297" s="9">
        <f t="shared" si="13"/>
        <v>4091.9764171634001</v>
      </c>
    </row>
    <row r="298" spans="1:20" x14ac:dyDescent="0.25">
      <c r="A298" s="6" t="str">
        <f t="shared" ref="A298:A306" si="15">"47813059"</f>
        <v>47813059</v>
      </c>
      <c r="B298" s="6" t="s">
        <v>138</v>
      </c>
      <c r="C298" s="6"/>
      <c r="D298" s="6" t="s">
        <v>246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/>
      <c r="Q298" s="6">
        <v>0</v>
      </c>
      <c r="R298" s="6">
        <v>0</v>
      </c>
      <c r="S298" s="6">
        <v>0</v>
      </c>
      <c r="T298" s="9">
        <f t="shared" si="13"/>
        <v>0</v>
      </c>
    </row>
    <row r="299" spans="1:20" x14ac:dyDescent="0.25">
      <c r="A299" s="6" t="str">
        <f t="shared" si="15"/>
        <v>47813059</v>
      </c>
      <c r="B299" s="6" t="s">
        <v>138</v>
      </c>
      <c r="C299" s="6"/>
      <c r="D299" s="6"/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/>
      <c r="Q299" s="6">
        <v>0</v>
      </c>
      <c r="R299" s="6">
        <v>0</v>
      </c>
      <c r="S299" s="6">
        <v>0</v>
      </c>
      <c r="T299" s="9">
        <f t="shared" si="13"/>
        <v>0</v>
      </c>
    </row>
    <row r="300" spans="1:20" x14ac:dyDescent="0.25">
      <c r="A300" s="6" t="str">
        <f t="shared" si="15"/>
        <v>47813059</v>
      </c>
      <c r="B300" s="6" t="s">
        <v>138</v>
      </c>
      <c r="C300" s="6">
        <v>19240</v>
      </c>
      <c r="D300" s="6" t="s">
        <v>430</v>
      </c>
      <c r="E300" s="6">
        <v>670</v>
      </c>
      <c r="F300" s="6">
        <v>10519.120421737</v>
      </c>
      <c r="G300" s="6">
        <v>11533.112567749</v>
      </c>
      <c r="H300" s="6">
        <v>0</v>
      </c>
      <c r="I300" s="6">
        <v>0</v>
      </c>
      <c r="J300" s="6">
        <v>0</v>
      </c>
      <c r="K300" s="6">
        <v>4.4666699999999997</v>
      </c>
      <c r="L300" s="6">
        <v>0</v>
      </c>
      <c r="M300" s="6">
        <v>871.00699999999995</v>
      </c>
      <c r="N300" s="6">
        <v>783.90599999999995</v>
      </c>
      <c r="O300" s="6">
        <v>0</v>
      </c>
      <c r="P300" s="6"/>
      <c r="Q300" s="6">
        <v>0</v>
      </c>
      <c r="R300" s="6">
        <v>0</v>
      </c>
      <c r="S300" s="6">
        <v>0</v>
      </c>
      <c r="T300" s="9">
        <f t="shared" si="13"/>
        <v>12317.018567749001</v>
      </c>
    </row>
    <row r="301" spans="1:20" x14ac:dyDescent="0.25">
      <c r="A301" s="6" t="str">
        <f t="shared" si="15"/>
        <v>47813059</v>
      </c>
      <c r="B301" s="6" t="s">
        <v>138</v>
      </c>
      <c r="C301" s="6">
        <v>19510</v>
      </c>
      <c r="D301" s="6" t="s">
        <v>431</v>
      </c>
      <c r="E301" s="6">
        <v>104</v>
      </c>
      <c r="F301" s="6">
        <v>1427.1159384729999</v>
      </c>
      <c r="G301" s="6">
        <v>1196.5259285903001</v>
      </c>
      <c r="H301" s="6">
        <v>0</v>
      </c>
      <c r="I301" s="6">
        <v>0</v>
      </c>
      <c r="J301" s="6">
        <v>0</v>
      </c>
      <c r="K301" s="6">
        <v>4.4666699999999997</v>
      </c>
      <c r="L301" s="6">
        <v>0</v>
      </c>
      <c r="M301" s="6">
        <v>81.667000000000002</v>
      </c>
      <c r="N301" s="6">
        <v>73.500299999999996</v>
      </c>
      <c r="O301" s="6">
        <v>0</v>
      </c>
      <c r="P301" s="6">
        <v>0</v>
      </c>
      <c r="Q301" s="6">
        <v>15.788148187399999</v>
      </c>
      <c r="R301" s="6">
        <v>15.788148187399999</v>
      </c>
      <c r="S301" s="6">
        <v>0</v>
      </c>
      <c r="T301" s="9">
        <f t="shared" si="13"/>
        <v>1285.8143767777001</v>
      </c>
    </row>
    <row r="302" spans="1:20" x14ac:dyDescent="0.25">
      <c r="A302" s="6" t="str">
        <f t="shared" si="15"/>
        <v>47813059</v>
      </c>
      <c r="B302" s="6" t="s">
        <v>138</v>
      </c>
      <c r="C302" s="6">
        <v>19520</v>
      </c>
      <c r="D302" s="6" t="s">
        <v>432</v>
      </c>
      <c r="E302" s="6">
        <v>724</v>
      </c>
      <c r="F302" s="6">
        <v>6516.7209824672</v>
      </c>
      <c r="G302" s="6">
        <v>4387.6269849806004</v>
      </c>
      <c r="H302" s="6">
        <v>0</v>
      </c>
      <c r="I302" s="6">
        <v>0</v>
      </c>
      <c r="J302" s="6">
        <v>0</v>
      </c>
      <c r="K302" s="6">
        <v>4.4666699999999997</v>
      </c>
      <c r="L302" s="6">
        <v>0</v>
      </c>
      <c r="M302" s="6">
        <v>419.80399999999997</v>
      </c>
      <c r="N302" s="6">
        <v>377.82400000000001</v>
      </c>
      <c r="O302" s="6">
        <v>0</v>
      </c>
      <c r="P302" s="6"/>
      <c r="Q302" s="6">
        <v>0</v>
      </c>
      <c r="R302" s="6">
        <v>0</v>
      </c>
      <c r="S302" s="6">
        <v>0</v>
      </c>
      <c r="T302" s="9">
        <f t="shared" si="13"/>
        <v>4765.4509849806</v>
      </c>
    </row>
    <row r="303" spans="1:20" x14ac:dyDescent="0.25">
      <c r="A303" s="6" t="str">
        <f t="shared" si="15"/>
        <v>47813059</v>
      </c>
      <c r="B303" s="6" t="s">
        <v>138</v>
      </c>
      <c r="C303" s="6">
        <v>19610</v>
      </c>
      <c r="D303" s="6" t="s">
        <v>433</v>
      </c>
      <c r="E303" s="6">
        <v>97</v>
      </c>
      <c r="F303" s="6">
        <v>3924.8557637639001</v>
      </c>
      <c r="G303" s="6">
        <v>3770.1734614422999</v>
      </c>
      <c r="H303" s="6">
        <v>0</v>
      </c>
      <c r="I303" s="6">
        <v>0</v>
      </c>
      <c r="J303" s="6">
        <v>0</v>
      </c>
      <c r="K303" s="6">
        <v>4.4666699999999997</v>
      </c>
      <c r="L303" s="6">
        <v>0</v>
      </c>
      <c r="M303" s="6">
        <v>385.74700000000001</v>
      </c>
      <c r="N303" s="6">
        <v>347.17200000000003</v>
      </c>
      <c r="O303" s="6">
        <v>0</v>
      </c>
      <c r="P303" s="6"/>
      <c r="Q303" s="6">
        <v>0</v>
      </c>
      <c r="R303" s="6">
        <v>0</v>
      </c>
      <c r="S303" s="6">
        <v>14.6127</v>
      </c>
      <c r="T303" s="9">
        <f t="shared" si="13"/>
        <v>4131.9581614422996</v>
      </c>
    </row>
    <row r="304" spans="1:20" x14ac:dyDescent="0.25">
      <c r="A304" s="6" t="str">
        <f t="shared" si="15"/>
        <v>47813059</v>
      </c>
      <c r="B304" s="6" t="s">
        <v>138</v>
      </c>
      <c r="C304" s="6">
        <v>19620</v>
      </c>
      <c r="D304" s="6" t="s">
        <v>434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/>
      <c r="Q304" s="6">
        <v>0</v>
      </c>
      <c r="R304" s="6">
        <v>0</v>
      </c>
      <c r="S304" s="6">
        <v>0</v>
      </c>
      <c r="T304" s="9">
        <f t="shared" si="13"/>
        <v>0</v>
      </c>
    </row>
    <row r="305" spans="1:20" x14ac:dyDescent="0.25">
      <c r="A305" s="6" t="str">
        <f t="shared" si="15"/>
        <v>47813059</v>
      </c>
      <c r="B305" s="6" t="s">
        <v>138</v>
      </c>
      <c r="C305" s="6">
        <v>19810</v>
      </c>
      <c r="D305" s="6" t="s">
        <v>435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/>
      <c r="Q305" s="6">
        <v>0</v>
      </c>
      <c r="R305" s="6">
        <v>0</v>
      </c>
      <c r="S305" s="6">
        <v>0</v>
      </c>
      <c r="T305" s="9">
        <f t="shared" si="13"/>
        <v>0</v>
      </c>
    </row>
    <row r="306" spans="1:20" x14ac:dyDescent="0.25">
      <c r="A306" s="6" t="str">
        <f t="shared" si="15"/>
        <v>47813059</v>
      </c>
      <c r="B306" s="6" t="s">
        <v>138</v>
      </c>
      <c r="C306" s="6" t="s">
        <v>436</v>
      </c>
      <c r="D306" s="6" t="s">
        <v>257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/>
      <c r="Q306" s="6">
        <v>0</v>
      </c>
      <c r="R306" s="6">
        <v>0</v>
      </c>
      <c r="S306" s="6">
        <v>0</v>
      </c>
      <c r="T306" s="9">
        <f t="shared" si="13"/>
        <v>0</v>
      </c>
    </row>
    <row r="307" spans="1:20" x14ac:dyDescent="0.25">
      <c r="A307" s="6" t="str">
        <f>"00100595"</f>
        <v>00100595</v>
      </c>
      <c r="B307" s="6" t="s">
        <v>139</v>
      </c>
      <c r="C307" s="6"/>
      <c r="D307" s="6"/>
      <c r="E307" s="6">
        <v>99</v>
      </c>
      <c r="F307" s="6">
        <v>1201.7567543048001</v>
      </c>
      <c r="G307" s="6">
        <v>1105.3781690221001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93.235968376399995</v>
      </c>
      <c r="R307" s="6">
        <v>93.235968376399995</v>
      </c>
      <c r="S307" s="6">
        <v>161.04</v>
      </c>
      <c r="T307" s="9">
        <f t="shared" si="13"/>
        <v>1359.6541373985001</v>
      </c>
    </row>
    <row r="308" spans="1:20" x14ac:dyDescent="0.25">
      <c r="A308" s="6" t="str">
        <f>"68378017"</f>
        <v>68378017</v>
      </c>
      <c r="B308" s="6" t="s">
        <v>140</v>
      </c>
      <c r="C308" s="6"/>
      <c r="D308" s="6"/>
      <c r="E308" s="6">
        <v>134</v>
      </c>
      <c r="F308" s="6">
        <v>1876.9427563636</v>
      </c>
      <c r="G308" s="6">
        <v>1834.9469511852001</v>
      </c>
      <c r="H308" s="6">
        <v>0</v>
      </c>
      <c r="I308" s="6">
        <v>0</v>
      </c>
      <c r="J308" s="6">
        <v>0</v>
      </c>
      <c r="K308" s="6">
        <v>2</v>
      </c>
      <c r="L308" s="6">
        <v>0</v>
      </c>
      <c r="M308" s="6">
        <v>330.69400000000002</v>
      </c>
      <c r="N308" s="6">
        <v>297.625</v>
      </c>
      <c r="O308" s="6">
        <v>0</v>
      </c>
      <c r="P308" s="6"/>
      <c r="Q308" s="6">
        <v>0</v>
      </c>
      <c r="R308" s="6">
        <v>0</v>
      </c>
      <c r="S308" s="6">
        <v>0</v>
      </c>
      <c r="T308" s="9">
        <f t="shared" si="13"/>
        <v>2132.5719511852003</v>
      </c>
    </row>
    <row r="309" spans="1:20" x14ac:dyDescent="0.25">
      <c r="A309" s="6" t="str">
        <f>"28586336"</f>
        <v>28586336</v>
      </c>
      <c r="B309" s="6" t="s">
        <v>141</v>
      </c>
      <c r="C309" s="6"/>
      <c r="D309" s="6"/>
      <c r="E309" s="6">
        <v>1</v>
      </c>
      <c r="F309" s="6">
        <v>19.475566666667</v>
      </c>
      <c r="G309" s="6">
        <v>10.3458789941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86.691658246900005</v>
      </c>
      <c r="R309" s="6">
        <v>86.691658246900005</v>
      </c>
      <c r="S309" s="6">
        <v>55.238</v>
      </c>
      <c r="T309" s="9">
        <f t="shared" si="13"/>
        <v>152.27553724099999</v>
      </c>
    </row>
    <row r="310" spans="1:20" x14ac:dyDescent="0.25">
      <c r="A310" s="6" t="str">
        <f>"68378025"</f>
        <v>68378025</v>
      </c>
      <c r="B310" s="6" t="s">
        <v>142</v>
      </c>
      <c r="C310" s="6"/>
      <c r="D310" s="6"/>
      <c r="E310" s="6">
        <v>429</v>
      </c>
      <c r="F310" s="6">
        <v>6384.1116198591999</v>
      </c>
      <c r="G310" s="6">
        <v>5389.0243107652996</v>
      </c>
      <c r="H310" s="6">
        <v>0</v>
      </c>
      <c r="I310" s="6">
        <v>0</v>
      </c>
      <c r="J310" s="6">
        <v>0</v>
      </c>
      <c r="K310" s="6">
        <v>2.1666699999999999</v>
      </c>
      <c r="L310" s="6">
        <v>2</v>
      </c>
      <c r="M310" s="6">
        <v>863.08299999999997</v>
      </c>
      <c r="N310" s="6">
        <v>1132.75</v>
      </c>
      <c r="O310" s="6">
        <v>0</v>
      </c>
      <c r="P310" s="6">
        <v>0</v>
      </c>
      <c r="Q310" s="6">
        <v>144.81331258469999</v>
      </c>
      <c r="R310" s="6">
        <v>144.81331258469999</v>
      </c>
      <c r="S310" s="6">
        <v>358.30700000000002</v>
      </c>
      <c r="T310" s="9">
        <f t="shared" si="13"/>
        <v>7024.8946233499992</v>
      </c>
    </row>
    <row r="311" spans="1:20" x14ac:dyDescent="0.25">
      <c r="A311" s="6" t="str">
        <f>"70565813"</f>
        <v>70565813</v>
      </c>
      <c r="B311" s="6" t="s">
        <v>143</v>
      </c>
      <c r="C311" s="6"/>
      <c r="D311" s="6"/>
      <c r="E311" s="6">
        <v>26</v>
      </c>
      <c r="F311" s="6">
        <v>306.17891808859002</v>
      </c>
      <c r="G311" s="6">
        <v>346.16422352779</v>
      </c>
      <c r="H311" s="6">
        <v>0</v>
      </c>
      <c r="I311" s="6">
        <v>0</v>
      </c>
      <c r="J311" s="6">
        <v>0</v>
      </c>
      <c r="K311" s="6">
        <v>0.5</v>
      </c>
      <c r="L311" s="6">
        <v>0</v>
      </c>
      <c r="M311" s="6">
        <v>218.69800000000001</v>
      </c>
      <c r="N311" s="6">
        <v>196.828</v>
      </c>
      <c r="O311" s="6">
        <v>50</v>
      </c>
      <c r="P311" s="6">
        <v>16.700000762938998</v>
      </c>
      <c r="Q311" s="6">
        <v>718.4016444673</v>
      </c>
      <c r="R311" s="6">
        <v>735.10164523020001</v>
      </c>
      <c r="S311" s="6">
        <v>1787.42</v>
      </c>
      <c r="T311" s="9">
        <f t="shared" si="13"/>
        <v>3065.5138687579902</v>
      </c>
    </row>
    <row r="312" spans="1:20" x14ac:dyDescent="0.25">
      <c r="A312" s="6" t="str">
        <f>"86652052"</f>
        <v>86652052</v>
      </c>
      <c r="B312" s="6" t="s">
        <v>144</v>
      </c>
      <c r="C312" s="6"/>
      <c r="D312" s="6"/>
      <c r="E312" s="6">
        <v>107</v>
      </c>
      <c r="F312" s="6">
        <v>1421.6438139719</v>
      </c>
      <c r="G312" s="6">
        <v>1418.6704873220999</v>
      </c>
      <c r="H312" s="6">
        <v>0</v>
      </c>
      <c r="I312" s="6">
        <v>0</v>
      </c>
      <c r="J312" s="6">
        <v>0</v>
      </c>
      <c r="K312" s="6">
        <v>1</v>
      </c>
      <c r="L312" s="6">
        <v>0</v>
      </c>
      <c r="M312" s="6">
        <v>350.637</v>
      </c>
      <c r="N312" s="6">
        <v>315.57299999999998</v>
      </c>
      <c r="O312" s="6">
        <v>0</v>
      </c>
      <c r="P312" s="6">
        <v>0</v>
      </c>
      <c r="Q312" s="6">
        <v>1087.6234415865999</v>
      </c>
      <c r="R312" s="6">
        <v>1087.6234415865999</v>
      </c>
      <c r="S312" s="6">
        <v>2482.31</v>
      </c>
      <c r="T312" s="9">
        <f t="shared" si="13"/>
        <v>5304.1769289087006</v>
      </c>
    </row>
    <row r="313" spans="1:20" x14ac:dyDescent="0.25">
      <c r="A313" s="6" t="str">
        <f>"75010330"</f>
        <v>75010330</v>
      </c>
      <c r="B313" s="6" t="s">
        <v>145</v>
      </c>
      <c r="C313" s="6"/>
      <c r="D313" s="6"/>
      <c r="E313" s="6">
        <v>397</v>
      </c>
      <c r="F313" s="6">
        <v>5007.6813348451997</v>
      </c>
      <c r="G313" s="6">
        <v>4877.9595042591</v>
      </c>
      <c r="H313" s="6">
        <v>0</v>
      </c>
      <c r="I313" s="6">
        <v>0</v>
      </c>
      <c r="J313" s="6">
        <v>0</v>
      </c>
      <c r="K313" s="6">
        <v>1.4666699999999999</v>
      </c>
      <c r="L313" s="6">
        <v>0</v>
      </c>
      <c r="M313" s="6">
        <v>738.88400000000001</v>
      </c>
      <c r="N313" s="6">
        <v>664.99599999999998</v>
      </c>
      <c r="O313" s="6">
        <v>0</v>
      </c>
      <c r="P313" s="6">
        <v>0</v>
      </c>
      <c r="Q313" s="6">
        <v>536.65388158919995</v>
      </c>
      <c r="R313" s="6">
        <v>536.65388158919995</v>
      </c>
      <c r="S313" s="6">
        <v>1050.1099999999999</v>
      </c>
      <c r="T313" s="9">
        <f t="shared" si="13"/>
        <v>7129.7193858482997</v>
      </c>
    </row>
    <row r="314" spans="1:20" x14ac:dyDescent="0.25">
      <c r="A314" s="6" t="str">
        <f>"60457856"</f>
        <v>60457856</v>
      </c>
      <c r="B314" s="6" t="s">
        <v>146</v>
      </c>
      <c r="C314" s="6"/>
      <c r="D314" s="6"/>
      <c r="E314" s="6">
        <v>1</v>
      </c>
      <c r="F314" s="6">
        <v>4</v>
      </c>
      <c r="G314" s="6">
        <v>2.7009999752045002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/>
      <c r="Q314" s="6">
        <v>0</v>
      </c>
      <c r="R314" s="6">
        <v>0</v>
      </c>
      <c r="S314" s="6">
        <v>0</v>
      </c>
      <c r="T314" s="9">
        <f t="shared" si="13"/>
        <v>2.7009999752045002</v>
      </c>
    </row>
    <row r="315" spans="1:20" x14ac:dyDescent="0.25">
      <c r="A315" s="6" t="str">
        <f>"25797000"</f>
        <v>25797000</v>
      </c>
      <c r="B315" s="6" t="s">
        <v>147</v>
      </c>
      <c r="C315" s="6"/>
      <c r="D315" s="6"/>
      <c r="E315" s="6">
        <v>68</v>
      </c>
      <c r="F315" s="6">
        <v>826.35024939393998</v>
      </c>
      <c r="G315" s="6">
        <v>847.29071734374998</v>
      </c>
      <c r="H315" s="6">
        <v>0</v>
      </c>
      <c r="I315" s="6">
        <v>0</v>
      </c>
      <c r="J315" s="6">
        <v>0</v>
      </c>
      <c r="K315" s="6">
        <v>1</v>
      </c>
      <c r="L315" s="6">
        <v>0</v>
      </c>
      <c r="M315" s="6">
        <v>229.74199999999999</v>
      </c>
      <c r="N315" s="6">
        <v>206.768</v>
      </c>
      <c r="O315" s="6">
        <v>0</v>
      </c>
      <c r="P315" s="6">
        <v>0</v>
      </c>
      <c r="Q315" s="6">
        <v>399.83689794399999</v>
      </c>
      <c r="R315" s="6">
        <v>399.83689794399999</v>
      </c>
      <c r="S315" s="6">
        <v>1592.55</v>
      </c>
      <c r="T315" s="9">
        <f t="shared" si="13"/>
        <v>3046.4456152877501</v>
      </c>
    </row>
    <row r="316" spans="1:20" x14ac:dyDescent="0.25">
      <c r="A316" s="6" t="str">
        <f>"25794787"</f>
        <v>25794787</v>
      </c>
      <c r="B316" s="6" t="s">
        <v>148</v>
      </c>
      <c r="C316" s="6"/>
      <c r="D316" s="6"/>
      <c r="E316" s="6">
        <v>54</v>
      </c>
      <c r="F316" s="6">
        <v>729.73626320446999</v>
      </c>
      <c r="G316" s="6">
        <v>818.88659671728999</v>
      </c>
      <c r="H316" s="6">
        <v>0</v>
      </c>
      <c r="I316" s="6">
        <v>0</v>
      </c>
      <c r="J316" s="6">
        <v>0</v>
      </c>
      <c r="K316" s="6">
        <v>0.66666700000000001</v>
      </c>
      <c r="L316" s="6">
        <v>0</v>
      </c>
      <c r="M316" s="6">
        <v>211.05099999999999</v>
      </c>
      <c r="N316" s="6">
        <v>189.946</v>
      </c>
      <c r="O316" s="6">
        <v>0</v>
      </c>
      <c r="P316" s="6">
        <v>0</v>
      </c>
      <c r="Q316" s="6">
        <v>40.145252450699999</v>
      </c>
      <c r="R316" s="6">
        <v>40.145252450699999</v>
      </c>
      <c r="S316" s="6">
        <v>466.82299999999998</v>
      </c>
      <c r="T316" s="9">
        <f t="shared" si="13"/>
        <v>1515.8008491679898</v>
      </c>
    </row>
    <row r="317" spans="1:20" x14ac:dyDescent="0.25">
      <c r="A317" s="6" t="str">
        <f>"29142890"</f>
        <v>29142890</v>
      </c>
      <c r="B317" s="6" t="s">
        <v>149</v>
      </c>
      <c r="C317" s="6"/>
      <c r="D317" s="6"/>
      <c r="E317" s="6">
        <v>60</v>
      </c>
      <c r="F317" s="6">
        <v>576.36681509976995</v>
      </c>
      <c r="G317" s="6">
        <v>360.05048055413999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1.4111168717</v>
      </c>
      <c r="R317" s="6">
        <v>1.4111168717</v>
      </c>
      <c r="S317" s="6">
        <v>0</v>
      </c>
      <c r="T317" s="9">
        <f t="shared" si="13"/>
        <v>361.46159742584001</v>
      </c>
    </row>
    <row r="318" spans="1:20" x14ac:dyDescent="0.25">
      <c r="A318" s="6" t="str">
        <f t="shared" ref="A318:A331" si="16">"46747885"</f>
        <v>46747885</v>
      </c>
      <c r="B318" s="6" t="s">
        <v>150</v>
      </c>
      <c r="C318" s="6"/>
      <c r="D318" s="6" t="s">
        <v>246</v>
      </c>
      <c r="E318" s="6">
        <v>2</v>
      </c>
      <c r="F318" s="6">
        <v>14</v>
      </c>
      <c r="G318" s="6">
        <v>16.438999652863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/>
      <c r="Q318" s="6">
        <v>0</v>
      </c>
      <c r="R318" s="6">
        <v>0</v>
      </c>
      <c r="S318" s="6">
        <v>8.3013300000000001</v>
      </c>
      <c r="T318" s="9">
        <f t="shared" si="13"/>
        <v>24.740329652863</v>
      </c>
    </row>
    <row r="319" spans="1:20" x14ac:dyDescent="0.25">
      <c r="A319" s="6" t="str">
        <f t="shared" si="16"/>
        <v>46747885</v>
      </c>
      <c r="B319" s="6" t="s">
        <v>150</v>
      </c>
      <c r="C319" s="6"/>
      <c r="D319" s="6"/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5.5716200000000002</v>
      </c>
      <c r="L319" s="6">
        <v>0</v>
      </c>
      <c r="M319" s="6">
        <v>2.8889999999999998</v>
      </c>
      <c r="N319" s="6">
        <v>2.6000999999999999</v>
      </c>
      <c r="O319" s="6">
        <v>0</v>
      </c>
      <c r="P319" s="6"/>
      <c r="Q319" s="6">
        <v>0</v>
      </c>
      <c r="R319" s="6">
        <v>0</v>
      </c>
      <c r="S319" s="6">
        <v>0</v>
      </c>
      <c r="T319" s="9">
        <f t="shared" si="13"/>
        <v>2.6000999999999999</v>
      </c>
    </row>
    <row r="320" spans="1:20" x14ac:dyDescent="0.25">
      <c r="A320" s="6" t="str">
        <f t="shared" si="16"/>
        <v>46747885</v>
      </c>
      <c r="B320" s="6" t="s">
        <v>150</v>
      </c>
      <c r="C320" s="6">
        <v>24210</v>
      </c>
      <c r="D320" s="6" t="s">
        <v>279</v>
      </c>
      <c r="E320" s="6">
        <v>425</v>
      </c>
      <c r="F320" s="6">
        <v>5098.6176117001996</v>
      </c>
      <c r="G320" s="6">
        <v>4268.7192587013997</v>
      </c>
      <c r="H320" s="6">
        <v>0</v>
      </c>
      <c r="I320" s="6">
        <v>0</v>
      </c>
      <c r="J320" s="6">
        <v>0</v>
      </c>
      <c r="K320" s="6">
        <v>5.5716200000000002</v>
      </c>
      <c r="L320" s="6">
        <v>0</v>
      </c>
      <c r="M320" s="6">
        <v>1171.07</v>
      </c>
      <c r="N320" s="6">
        <v>1053.96</v>
      </c>
      <c r="O320" s="6">
        <v>270</v>
      </c>
      <c r="P320" s="6">
        <v>158.56999969482001</v>
      </c>
      <c r="Q320" s="6">
        <v>629.39902670590004</v>
      </c>
      <c r="R320" s="6">
        <v>787.96902640070005</v>
      </c>
      <c r="S320" s="6">
        <v>5530.03</v>
      </c>
      <c r="T320" s="9">
        <f t="shared" si="13"/>
        <v>11640.6782851021</v>
      </c>
    </row>
    <row r="321" spans="1:20" x14ac:dyDescent="0.25">
      <c r="A321" s="6" t="str">
        <f t="shared" si="16"/>
        <v>46747885</v>
      </c>
      <c r="B321" s="6" t="s">
        <v>150</v>
      </c>
      <c r="C321" s="6">
        <v>24220</v>
      </c>
      <c r="D321" s="6" t="s">
        <v>437</v>
      </c>
      <c r="E321" s="6">
        <v>311</v>
      </c>
      <c r="F321" s="6">
        <v>3959.3003923900001</v>
      </c>
      <c r="G321" s="6">
        <v>3692.4104888533002</v>
      </c>
      <c r="H321" s="6">
        <v>0</v>
      </c>
      <c r="I321" s="6">
        <v>0</v>
      </c>
      <c r="J321" s="6">
        <v>0</v>
      </c>
      <c r="K321" s="6">
        <v>5.5716200000000002</v>
      </c>
      <c r="L321" s="6">
        <v>0</v>
      </c>
      <c r="M321" s="6">
        <v>869.64700000000005</v>
      </c>
      <c r="N321" s="6">
        <v>782.68200000000002</v>
      </c>
      <c r="O321" s="6">
        <v>120</v>
      </c>
      <c r="P321" s="6">
        <v>5</v>
      </c>
      <c r="Q321" s="6">
        <v>360.63239007449999</v>
      </c>
      <c r="R321" s="6">
        <v>365.63239007449999</v>
      </c>
      <c r="S321" s="6">
        <v>3286.72</v>
      </c>
      <c r="T321" s="9">
        <f t="shared" si="13"/>
        <v>8127.4448789277994</v>
      </c>
    </row>
    <row r="322" spans="1:20" x14ac:dyDescent="0.25">
      <c r="A322" s="6" t="str">
        <f t="shared" si="16"/>
        <v>46747885</v>
      </c>
      <c r="B322" s="6" t="s">
        <v>150</v>
      </c>
      <c r="C322" s="6">
        <v>24310</v>
      </c>
      <c r="D322" s="6" t="s">
        <v>312</v>
      </c>
      <c r="E322" s="6">
        <v>253</v>
      </c>
      <c r="F322" s="6">
        <v>3217.8684743422</v>
      </c>
      <c r="G322" s="6">
        <v>2822.0262361071</v>
      </c>
      <c r="H322" s="6">
        <v>0</v>
      </c>
      <c r="I322" s="6">
        <v>0</v>
      </c>
      <c r="J322" s="6">
        <v>0</v>
      </c>
      <c r="K322" s="6">
        <v>5.5716200000000002</v>
      </c>
      <c r="L322" s="6">
        <v>0</v>
      </c>
      <c r="M322" s="6">
        <v>309.94900000000001</v>
      </c>
      <c r="N322" s="6">
        <v>278.95400000000001</v>
      </c>
      <c r="O322" s="6">
        <v>0</v>
      </c>
      <c r="P322" s="6">
        <v>0</v>
      </c>
      <c r="Q322" s="6">
        <v>24.398006201600001</v>
      </c>
      <c r="R322" s="6">
        <v>24.398006201600001</v>
      </c>
      <c r="S322" s="6">
        <v>131.38200000000001</v>
      </c>
      <c r="T322" s="9">
        <f t="shared" si="13"/>
        <v>3256.7602423087001</v>
      </c>
    </row>
    <row r="323" spans="1:20" x14ac:dyDescent="0.25">
      <c r="A323" s="6" t="str">
        <f t="shared" si="16"/>
        <v>46747885</v>
      </c>
      <c r="B323" s="6" t="s">
        <v>150</v>
      </c>
      <c r="C323" s="6">
        <v>24410</v>
      </c>
      <c r="D323" s="6" t="s">
        <v>438</v>
      </c>
      <c r="E323" s="6">
        <v>357</v>
      </c>
      <c r="F323" s="6">
        <v>6107.4808512765003</v>
      </c>
      <c r="G323" s="6">
        <v>5530.0997900705997</v>
      </c>
      <c r="H323" s="6">
        <v>0</v>
      </c>
      <c r="I323" s="6">
        <v>0</v>
      </c>
      <c r="J323" s="6">
        <v>0</v>
      </c>
      <c r="K323" s="6">
        <v>5.5716200000000002</v>
      </c>
      <c r="L323" s="6">
        <v>0</v>
      </c>
      <c r="M323" s="6">
        <v>582.76700000000005</v>
      </c>
      <c r="N323" s="6">
        <v>524.49</v>
      </c>
      <c r="O323" s="6">
        <v>190</v>
      </c>
      <c r="P323" s="6">
        <v>145</v>
      </c>
      <c r="Q323" s="6">
        <v>237.27214413319999</v>
      </c>
      <c r="R323" s="6">
        <v>382.27214413320002</v>
      </c>
      <c r="S323" s="6">
        <v>1379.88</v>
      </c>
      <c r="T323" s="9">
        <f t="shared" si="13"/>
        <v>7816.7419342037992</v>
      </c>
    </row>
    <row r="324" spans="1:20" x14ac:dyDescent="0.25">
      <c r="A324" s="6" t="str">
        <f t="shared" si="16"/>
        <v>46747885</v>
      </c>
      <c r="B324" s="6" t="s">
        <v>150</v>
      </c>
      <c r="C324" s="6">
        <v>24510</v>
      </c>
      <c r="D324" s="6" t="s">
        <v>439</v>
      </c>
      <c r="E324" s="6">
        <v>390</v>
      </c>
      <c r="F324" s="6">
        <v>4644.6562877749002</v>
      </c>
      <c r="G324" s="6">
        <v>4196.8958970753001</v>
      </c>
      <c r="H324" s="6">
        <v>0</v>
      </c>
      <c r="I324" s="6">
        <v>0</v>
      </c>
      <c r="J324" s="6">
        <v>0</v>
      </c>
      <c r="K324" s="6">
        <v>5.5716200000000002</v>
      </c>
      <c r="L324" s="6">
        <v>0</v>
      </c>
      <c r="M324" s="6">
        <v>498.13400000000001</v>
      </c>
      <c r="N324" s="6">
        <v>448.32100000000003</v>
      </c>
      <c r="O324" s="6">
        <v>0</v>
      </c>
      <c r="P324" s="6">
        <v>0</v>
      </c>
      <c r="Q324" s="6">
        <v>10.2254845774</v>
      </c>
      <c r="R324" s="6">
        <v>10.2254845774</v>
      </c>
      <c r="S324" s="6">
        <v>250.53399999999999</v>
      </c>
      <c r="T324" s="9">
        <f t="shared" si="13"/>
        <v>4905.9763816526993</v>
      </c>
    </row>
    <row r="325" spans="1:20" x14ac:dyDescent="0.25">
      <c r="A325" s="6" t="str">
        <f t="shared" si="16"/>
        <v>46747885</v>
      </c>
      <c r="B325" s="6" t="s">
        <v>150</v>
      </c>
      <c r="C325" s="6">
        <v>24520</v>
      </c>
      <c r="D325" s="6" t="s">
        <v>440</v>
      </c>
      <c r="E325" s="6">
        <v>2</v>
      </c>
      <c r="F325" s="6">
        <v>180</v>
      </c>
      <c r="G325" s="6">
        <v>100.79149183861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/>
      <c r="Q325" s="6">
        <v>0</v>
      </c>
      <c r="R325" s="6">
        <v>0</v>
      </c>
      <c r="S325" s="6">
        <v>0</v>
      </c>
      <c r="T325" s="9">
        <f t="shared" ref="T325:T388" si="17">G325+J325+N325+R325+S325</f>
        <v>100.79149183861</v>
      </c>
    </row>
    <row r="326" spans="1:20" x14ac:dyDescent="0.25">
      <c r="A326" s="6" t="str">
        <f t="shared" si="16"/>
        <v>46747885</v>
      </c>
      <c r="B326" s="6" t="s">
        <v>150</v>
      </c>
      <c r="C326" s="6">
        <v>24530</v>
      </c>
      <c r="D326" s="6" t="s">
        <v>441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/>
      <c r="Q326" s="6">
        <v>0</v>
      </c>
      <c r="R326" s="6">
        <v>0</v>
      </c>
      <c r="S326" s="6">
        <v>0</v>
      </c>
      <c r="T326" s="9">
        <f t="shared" si="17"/>
        <v>0</v>
      </c>
    </row>
    <row r="327" spans="1:20" x14ac:dyDescent="0.25">
      <c r="A327" s="6" t="str">
        <f t="shared" si="16"/>
        <v>46747885</v>
      </c>
      <c r="B327" s="6" t="s">
        <v>150</v>
      </c>
      <c r="C327" s="6">
        <v>24610</v>
      </c>
      <c r="D327" s="6" t="s">
        <v>442</v>
      </c>
      <c r="E327" s="6">
        <v>9</v>
      </c>
      <c r="F327" s="6">
        <v>60.200000166892998</v>
      </c>
      <c r="G327" s="6">
        <v>57.769000768661002</v>
      </c>
      <c r="H327" s="6">
        <v>0</v>
      </c>
      <c r="I327" s="6">
        <v>0</v>
      </c>
      <c r="J327" s="6">
        <v>0</v>
      </c>
      <c r="K327" s="6">
        <v>5.5716200000000002</v>
      </c>
      <c r="L327" s="6">
        <v>0</v>
      </c>
      <c r="M327" s="6">
        <v>5.7770000000000001</v>
      </c>
      <c r="N327" s="6">
        <v>5.1993</v>
      </c>
      <c r="O327" s="6">
        <v>0</v>
      </c>
      <c r="P327" s="6"/>
      <c r="Q327" s="6">
        <v>0</v>
      </c>
      <c r="R327" s="6">
        <v>0</v>
      </c>
      <c r="S327" s="6">
        <v>0</v>
      </c>
      <c r="T327" s="9">
        <f t="shared" si="17"/>
        <v>62.968300768661003</v>
      </c>
    </row>
    <row r="328" spans="1:20" x14ac:dyDescent="0.25">
      <c r="A328" s="6" t="str">
        <f t="shared" si="16"/>
        <v>46747885</v>
      </c>
      <c r="B328" s="6" t="s">
        <v>150</v>
      </c>
      <c r="C328" s="6">
        <v>24620</v>
      </c>
      <c r="D328" s="6" t="s">
        <v>443</v>
      </c>
      <c r="E328" s="6">
        <v>98</v>
      </c>
      <c r="F328" s="6">
        <v>1654.7209485423</v>
      </c>
      <c r="G328" s="6">
        <v>1429.5790743923001</v>
      </c>
      <c r="H328" s="6">
        <v>0</v>
      </c>
      <c r="I328" s="6">
        <v>0</v>
      </c>
      <c r="J328" s="6">
        <v>0</v>
      </c>
      <c r="K328" s="6">
        <v>5.5716200000000002</v>
      </c>
      <c r="L328" s="6">
        <v>0</v>
      </c>
      <c r="M328" s="6">
        <v>136.446</v>
      </c>
      <c r="N328" s="6">
        <v>122.801</v>
      </c>
      <c r="O328" s="6">
        <v>220</v>
      </c>
      <c r="P328" s="6">
        <v>207.5</v>
      </c>
      <c r="Q328" s="6">
        <v>1898.8315840782</v>
      </c>
      <c r="R328" s="6">
        <v>2106.3315840782002</v>
      </c>
      <c r="S328" s="6">
        <v>3151.24</v>
      </c>
      <c r="T328" s="9">
        <f t="shared" si="17"/>
        <v>6809.9516584704998</v>
      </c>
    </row>
    <row r="329" spans="1:20" x14ac:dyDescent="0.25">
      <c r="A329" s="6" t="str">
        <f t="shared" si="16"/>
        <v>46747885</v>
      </c>
      <c r="B329" s="6" t="s">
        <v>150</v>
      </c>
      <c r="C329" s="6">
        <v>24630</v>
      </c>
      <c r="D329" s="6" t="s">
        <v>444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/>
      <c r="Q329" s="6">
        <v>0</v>
      </c>
      <c r="R329" s="6">
        <v>0</v>
      </c>
      <c r="S329" s="6">
        <v>0</v>
      </c>
      <c r="T329" s="9">
        <f t="shared" si="17"/>
        <v>0</v>
      </c>
    </row>
    <row r="330" spans="1:20" x14ac:dyDescent="0.25">
      <c r="A330" s="6" t="str">
        <f t="shared" si="16"/>
        <v>46747885</v>
      </c>
      <c r="B330" s="6" t="s">
        <v>150</v>
      </c>
      <c r="C330" s="6">
        <v>24810</v>
      </c>
      <c r="D330" s="6" t="s">
        <v>445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5.5716200000000002</v>
      </c>
      <c r="L330" s="6">
        <v>0</v>
      </c>
      <c r="M330" s="6">
        <v>20.007000000000001</v>
      </c>
      <c r="N330" s="6">
        <v>18.0063</v>
      </c>
      <c r="O330" s="6">
        <v>0</v>
      </c>
      <c r="P330" s="6"/>
      <c r="Q330" s="6">
        <v>0</v>
      </c>
      <c r="R330" s="6">
        <v>0</v>
      </c>
      <c r="S330" s="6">
        <v>200.071</v>
      </c>
      <c r="T330" s="9">
        <f t="shared" si="17"/>
        <v>218.07730000000001</v>
      </c>
    </row>
    <row r="331" spans="1:20" x14ac:dyDescent="0.25">
      <c r="A331" s="6" t="str">
        <f t="shared" si="16"/>
        <v>46747885</v>
      </c>
      <c r="B331" s="6" t="s">
        <v>150</v>
      </c>
      <c r="C331" s="6" t="s">
        <v>446</v>
      </c>
      <c r="D331" s="6" t="s">
        <v>257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/>
      <c r="Q331" s="6">
        <v>0</v>
      </c>
      <c r="R331" s="6">
        <v>0</v>
      </c>
      <c r="S331" s="6">
        <v>0</v>
      </c>
      <c r="T331" s="9">
        <f t="shared" si="17"/>
        <v>0</v>
      </c>
    </row>
    <row r="332" spans="1:20" x14ac:dyDescent="0.25">
      <c r="A332" s="6" t="str">
        <f>"00101435"</f>
        <v>00101435</v>
      </c>
      <c r="B332" s="6" t="s">
        <v>151</v>
      </c>
      <c r="C332" s="6"/>
      <c r="D332" s="6"/>
      <c r="E332" s="6">
        <v>33</v>
      </c>
      <c r="F332" s="6">
        <v>178.42667472208001</v>
      </c>
      <c r="G332" s="6">
        <v>165.08337725793001</v>
      </c>
      <c r="H332" s="6">
        <v>0</v>
      </c>
      <c r="I332" s="6">
        <v>0</v>
      </c>
      <c r="J332" s="6">
        <v>0</v>
      </c>
      <c r="K332" s="6">
        <v>1</v>
      </c>
      <c r="L332" s="6">
        <v>0</v>
      </c>
      <c r="M332" s="6">
        <v>1</v>
      </c>
      <c r="N332" s="6">
        <v>0.9</v>
      </c>
      <c r="O332" s="6">
        <v>0</v>
      </c>
      <c r="P332" s="6">
        <v>0</v>
      </c>
      <c r="Q332" s="6">
        <v>46.403249012099998</v>
      </c>
      <c r="R332" s="6">
        <v>46.403249012099998</v>
      </c>
      <c r="S332" s="6">
        <v>42.167999999999999</v>
      </c>
      <c r="T332" s="9">
        <f t="shared" si="17"/>
        <v>254.55462627003001</v>
      </c>
    </row>
    <row r="333" spans="1:20" x14ac:dyDescent="0.25">
      <c r="A333" s="6" t="str">
        <f>"60456540"</f>
        <v>60456540</v>
      </c>
      <c r="B333" s="6" t="s">
        <v>152</v>
      </c>
      <c r="C333" s="6"/>
      <c r="D333" s="6"/>
      <c r="E333" s="6">
        <v>46</v>
      </c>
      <c r="F333" s="6">
        <v>489.35279965369</v>
      </c>
      <c r="G333" s="6">
        <v>441.08971243756997</v>
      </c>
      <c r="H333" s="6">
        <v>0</v>
      </c>
      <c r="I333" s="6">
        <v>0</v>
      </c>
      <c r="J333" s="6">
        <v>0</v>
      </c>
      <c r="K333" s="6">
        <v>1</v>
      </c>
      <c r="L333" s="6">
        <v>0</v>
      </c>
      <c r="M333" s="6">
        <v>157.018</v>
      </c>
      <c r="N333" s="6">
        <v>141.316</v>
      </c>
      <c r="O333" s="6">
        <v>0</v>
      </c>
      <c r="P333" s="6">
        <v>0</v>
      </c>
      <c r="Q333" s="6">
        <v>9.3869948421</v>
      </c>
      <c r="R333" s="6">
        <v>9.3869948421</v>
      </c>
      <c r="S333" s="6">
        <v>293.64999999999998</v>
      </c>
      <c r="T333" s="9">
        <f t="shared" si="17"/>
        <v>885.44270727966989</v>
      </c>
    </row>
    <row r="334" spans="1:20" x14ac:dyDescent="0.25">
      <c r="A334" s="6" t="str">
        <f>"00013251"</f>
        <v>00013251</v>
      </c>
      <c r="B334" s="6" t="s">
        <v>153</v>
      </c>
      <c r="C334" s="6"/>
      <c r="D334" s="6"/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/>
      <c r="Q334" s="6">
        <v>0</v>
      </c>
      <c r="R334" s="6">
        <v>0</v>
      </c>
      <c r="S334" s="6">
        <v>0</v>
      </c>
      <c r="T334" s="9">
        <f t="shared" si="17"/>
        <v>0</v>
      </c>
    </row>
    <row r="335" spans="1:20" x14ac:dyDescent="0.25">
      <c r="A335" s="6" t="str">
        <f>"00064190"</f>
        <v>00064190</v>
      </c>
      <c r="B335" s="6" t="s">
        <v>154</v>
      </c>
      <c r="C335" s="6"/>
      <c r="D335" s="6"/>
      <c r="E335" s="6">
        <v>317</v>
      </c>
      <c r="F335" s="6">
        <v>2723.5356909164998</v>
      </c>
      <c r="G335" s="6">
        <v>2512.7870036016998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209.94964934239999</v>
      </c>
      <c r="R335" s="6">
        <v>209.94964934239999</v>
      </c>
      <c r="S335" s="6">
        <v>421.43200000000002</v>
      </c>
      <c r="T335" s="9">
        <f t="shared" si="17"/>
        <v>3144.1686529440994</v>
      </c>
    </row>
    <row r="336" spans="1:20" x14ac:dyDescent="0.25">
      <c r="A336" s="6" t="str">
        <f>"00023442"</f>
        <v>00023442</v>
      </c>
      <c r="B336" s="6" t="s">
        <v>155</v>
      </c>
      <c r="C336" s="6"/>
      <c r="D336" s="6"/>
      <c r="E336" s="6">
        <v>102</v>
      </c>
      <c r="F336" s="6">
        <v>2121.6828672859001</v>
      </c>
      <c r="G336" s="6">
        <v>1913.1448163017999</v>
      </c>
      <c r="H336" s="6">
        <v>0</v>
      </c>
      <c r="I336" s="6">
        <v>0</v>
      </c>
      <c r="J336" s="6">
        <v>0</v>
      </c>
      <c r="K336" s="6">
        <v>0.5</v>
      </c>
      <c r="L336" s="6">
        <v>0</v>
      </c>
      <c r="M336" s="6">
        <v>183.81200000000001</v>
      </c>
      <c r="N336" s="6">
        <v>165.43100000000001</v>
      </c>
      <c r="O336" s="6">
        <v>0</v>
      </c>
      <c r="P336" s="6">
        <v>0</v>
      </c>
      <c r="Q336" s="6">
        <v>61.066593896000001</v>
      </c>
      <c r="R336" s="6">
        <v>61.066593896000001</v>
      </c>
      <c r="S336" s="6">
        <v>53.853999999999999</v>
      </c>
      <c r="T336" s="9">
        <f t="shared" si="17"/>
        <v>2193.4964101977998</v>
      </c>
    </row>
    <row r="337" spans="1:20" x14ac:dyDescent="0.25">
      <c r="A337" s="6" t="str">
        <f>"62243136"</f>
        <v>62243136</v>
      </c>
      <c r="B337" s="6" t="s">
        <v>156</v>
      </c>
      <c r="C337" s="6"/>
      <c r="D337" s="6"/>
      <c r="E337" s="6">
        <v>50</v>
      </c>
      <c r="F337" s="6">
        <v>1454.8738162540001</v>
      </c>
      <c r="G337" s="6">
        <v>1688.7981274763999</v>
      </c>
      <c r="H337" s="6">
        <v>0</v>
      </c>
      <c r="I337" s="6">
        <v>0</v>
      </c>
      <c r="J337" s="6">
        <v>0</v>
      </c>
      <c r="K337" s="6">
        <v>2.2888899999999999</v>
      </c>
      <c r="L337" s="6">
        <v>0</v>
      </c>
      <c r="M337" s="6">
        <v>616.37300000000005</v>
      </c>
      <c r="N337" s="6">
        <v>554.73599999999999</v>
      </c>
      <c r="O337" s="6">
        <v>90</v>
      </c>
      <c r="P337" s="6">
        <v>56.700000762938998</v>
      </c>
      <c r="Q337" s="6">
        <v>751.83897903529999</v>
      </c>
      <c r="R337" s="6">
        <v>808.53897979819999</v>
      </c>
      <c r="S337" s="6">
        <v>2913.16</v>
      </c>
      <c r="T337" s="9">
        <f t="shared" si="17"/>
        <v>5965.2331072746001</v>
      </c>
    </row>
    <row r="338" spans="1:20" x14ac:dyDescent="0.25">
      <c r="A338" s="6" t="str">
        <f t="shared" ref="A338:A346" si="18">"62690094"</f>
        <v>62690094</v>
      </c>
      <c r="B338" s="6" t="s">
        <v>157</v>
      </c>
      <c r="C338" s="6"/>
      <c r="D338" s="6" t="s">
        <v>246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/>
      <c r="Q338" s="6">
        <v>0</v>
      </c>
      <c r="R338" s="6">
        <v>0</v>
      </c>
      <c r="S338" s="6">
        <v>0</v>
      </c>
      <c r="T338" s="9">
        <f t="shared" si="17"/>
        <v>0</v>
      </c>
    </row>
    <row r="339" spans="1:20" x14ac:dyDescent="0.25">
      <c r="A339" s="6" t="str">
        <f t="shared" si="18"/>
        <v>62690094</v>
      </c>
      <c r="B339" s="6" t="s">
        <v>157</v>
      </c>
      <c r="C339" s="6"/>
      <c r="D339" s="6"/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/>
      <c r="Q339" s="6">
        <v>0</v>
      </c>
      <c r="R339" s="6">
        <v>0</v>
      </c>
      <c r="S339" s="6">
        <v>0</v>
      </c>
      <c r="T339" s="9">
        <f t="shared" si="17"/>
        <v>0</v>
      </c>
    </row>
    <row r="340" spans="1:20" x14ac:dyDescent="0.25">
      <c r="A340" s="6" t="str">
        <f t="shared" si="18"/>
        <v>62690094</v>
      </c>
      <c r="B340" s="6" t="s">
        <v>157</v>
      </c>
      <c r="C340" s="6">
        <v>18440</v>
      </c>
      <c r="D340" s="6" t="s">
        <v>311</v>
      </c>
      <c r="E340" s="6">
        <v>601</v>
      </c>
      <c r="F340" s="6">
        <v>6642.5668031546002</v>
      </c>
      <c r="G340" s="6">
        <v>5694.2808092196001</v>
      </c>
      <c r="H340" s="6">
        <v>0</v>
      </c>
      <c r="I340" s="6">
        <v>0</v>
      </c>
      <c r="J340" s="6">
        <v>0</v>
      </c>
      <c r="K340" s="6">
        <v>4.1666699999999999</v>
      </c>
      <c r="L340" s="6">
        <v>0</v>
      </c>
      <c r="M340" s="6">
        <v>638.59199999999998</v>
      </c>
      <c r="N340" s="6">
        <v>574.73299999999995</v>
      </c>
      <c r="O340" s="6">
        <v>0</v>
      </c>
      <c r="P340" s="6">
        <v>0</v>
      </c>
      <c r="Q340" s="6">
        <v>6.5443101295000004</v>
      </c>
      <c r="R340" s="6">
        <v>6.5443101295000004</v>
      </c>
      <c r="S340" s="6">
        <v>82.947699999999998</v>
      </c>
      <c r="T340" s="9">
        <f t="shared" si="17"/>
        <v>6358.5058193491004</v>
      </c>
    </row>
    <row r="341" spans="1:20" x14ac:dyDescent="0.25">
      <c r="A341" s="6" t="str">
        <f t="shared" si="18"/>
        <v>62690094</v>
      </c>
      <c r="B341" s="6" t="s">
        <v>157</v>
      </c>
      <c r="C341" s="6">
        <v>18450</v>
      </c>
      <c r="D341" s="6" t="s">
        <v>447</v>
      </c>
      <c r="E341" s="6">
        <v>681</v>
      </c>
      <c r="F341" s="6">
        <v>8128.5784122054001</v>
      </c>
      <c r="G341" s="6">
        <v>5755.6352868234999</v>
      </c>
      <c r="H341" s="6">
        <v>0</v>
      </c>
      <c r="I341" s="6">
        <v>0</v>
      </c>
      <c r="J341" s="6">
        <v>0</v>
      </c>
      <c r="K341" s="6">
        <v>4.1666699999999999</v>
      </c>
      <c r="L341" s="6">
        <v>0</v>
      </c>
      <c r="M341" s="6">
        <v>463.17</v>
      </c>
      <c r="N341" s="6">
        <v>416.85300000000001</v>
      </c>
      <c r="O341" s="6">
        <v>0</v>
      </c>
      <c r="P341" s="6"/>
      <c r="Q341" s="6">
        <v>0</v>
      </c>
      <c r="R341" s="6">
        <v>0</v>
      </c>
      <c r="S341" s="6">
        <v>0</v>
      </c>
      <c r="T341" s="9">
        <f t="shared" si="17"/>
        <v>6172.4882868234999</v>
      </c>
    </row>
    <row r="342" spans="1:20" x14ac:dyDescent="0.25">
      <c r="A342" s="6" t="str">
        <f t="shared" si="18"/>
        <v>62690094</v>
      </c>
      <c r="B342" s="6" t="s">
        <v>157</v>
      </c>
      <c r="C342" s="6">
        <v>18460</v>
      </c>
      <c r="D342" s="6" t="s">
        <v>307</v>
      </c>
      <c r="E342" s="6">
        <v>424</v>
      </c>
      <c r="F342" s="6">
        <v>5260.8743008684996</v>
      </c>
      <c r="G342" s="6">
        <v>4697.1334954888998</v>
      </c>
      <c r="H342" s="6">
        <v>0</v>
      </c>
      <c r="I342" s="6">
        <v>0</v>
      </c>
      <c r="J342" s="6">
        <v>0</v>
      </c>
      <c r="K342" s="6">
        <v>4.1666699999999999</v>
      </c>
      <c r="L342" s="6">
        <v>0</v>
      </c>
      <c r="M342" s="6">
        <v>426.18900000000002</v>
      </c>
      <c r="N342" s="6">
        <v>383.57</v>
      </c>
      <c r="O342" s="6">
        <v>0</v>
      </c>
      <c r="P342" s="6"/>
      <c r="Q342" s="6">
        <v>0</v>
      </c>
      <c r="R342" s="6">
        <v>0</v>
      </c>
      <c r="S342" s="6">
        <v>0</v>
      </c>
      <c r="T342" s="9">
        <f t="shared" si="17"/>
        <v>5080.7034954888995</v>
      </c>
    </row>
    <row r="343" spans="1:20" x14ac:dyDescent="0.25">
      <c r="A343" s="6" t="str">
        <f t="shared" si="18"/>
        <v>62690094</v>
      </c>
      <c r="B343" s="6" t="s">
        <v>157</v>
      </c>
      <c r="C343" s="6">
        <v>18470</v>
      </c>
      <c r="D343" s="6" t="s">
        <v>310</v>
      </c>
      <c r="E343" s="6">
        <v>382</v>
      </c>
      <c r="F343" s="6">
        <v>3639.7677086361</v>
      </c>
      <c r="G343" s="6">
        <v>3288.6646517744998</v>
      </c>
      <c r="H343" s="6">
        <v>0</v>
      </c>
      <c r="I343" s="6">
        <v>0</v>
      </c>
      <c r="J343" s="6">
        <v>0</v>
      </c>
      <c r="K343" s="6">
        <v>4.1666699999999999</v>
      </c>
      <c r="L343" s="6">
        <v>0</v>
      </c>
      <c r="M343" s="6">
        <v>202.60900000000001</v>
      </c>
      <c r="N343" s="6">
        <v>182.34800000000001</v>
      </c>
      <c r="O343" s="6">
        <v>0</v>
      </c>
      <c r="P343" s="6">
        <v>0</v>
      </c>
      <c r="Q343" s="6">
        <v>13.293129950599999</v>
      </c>
      <c r="R343" s="6">
        <v>13.293129950599999</v>
      </c>
      <c r="S343" s="6">
        <v>71.699299999999994</v>
      </c>
      <c r="T343" s="9">
        <f t="shared" si="17"/>
        <v>3556.0050817250994</v>
      </c>
    </row>
    <row r="344" spans="1:20" x14ac:dyDescent="0.25">
      <c r="A344" s="6" t="str">
        <f t="shared" si="18"/>
        <v>62690094</v>
      </c>
      <c r="B344" s="6" t="s">
        <v>157</v>
      </c>
      <c r="C344" s="6">
        <v>18610</v>
      </c>
      <c r="D344" s="6" t="s">
        <v>448</v>
      </c>
      <c r="E344" s="6">
        <v>82</v>
      </c>
      <c r="F344" s="6">
        <v>292.90282510526998</v>
      </c>
      <c r="G344" s="6">
        <v>265.1566061817</v>
      </c>
      <c r="H344" s="6">
        <v>0</v>
      </c>
      <c r="I344" s="6">
        <v>0</v>
      </c>
      <c r="J344" s="6">
        <v>0</v>
      </c>
      <c r="K344" s="6">
        <v>4.1666699999999999</v>
      </c>
      <c r="L344" s="6">
        <v>0</v>
      </c>
      <c r="M344" s="6">
        <v>18.161999999999999</v>
      </c>
      <c r="N344" s="6">
        <v>16.345800000000001</v>
      </c>
      <c r="O344" s="6">
        <v>0</v>
      </c>
      <c r="P344" s="6"/>
      <c r="Q344" s="6">
        <v>0</v>
      </c>
      <c r="R344" s="6">
        <v>0</v>
      </c>
      <c r="S344" s="6">
        <v>0</v>
      </c>
      <c r="T344" s="9">
        <f t="shared" si="17"/>
        <v>281.5024061817</v>
      </c>
    </row>
    <row r="345" spans="1:20" x14ac:dyDescent="0.25">
      <c r="A345" s="6" t="str">
        <f t="shared" si="18"/>
        <v>62690094</v>
      </c>
      <c r="B345" s="6" t="s">
        <v>157</v>
      </c>
      <c r="C345" s="6">
        <v>18810</v>
      </c>
      <c r="D345" s="6" t="s">
        <v>258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/>
      <c r="Q345" s="6">
        <v>0</v>
      </c>
      <c r="R345" s="6">
        <v>0</v>
      </c>
      <c r="S345" s="6">
        <v>0</v>
      </c>
      <c r="T345" s="9">
        <f t="shared" si="17"/>
        <v>0</v>
      </c>
    </row>
    <row r="346" spans="1:20" x14ac:dyDescent="0.25">
      <c r="A346" s="6" t="str">
        <f t="shared" si="18"/>
        <v>62690094</v>
      </c>
      <c r="B346" s="6" t="s">
        <v>157</v>
      </c>
      <c r="C346" s="6" t="s">
        <v>449</v>
      </c>
      <c r="D346" s="6" t="s">
        <v>257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/>
      <c r="Q346" s="6">
        <v>0</v>
      </c>
      <c r="R346" s="6">
        <v>0</v>
      </c>
      <c r="S346" s="6">
        <v>0</v>
      </c>
      <c r="T346" s="9">
        <f t="shared" si="17"/>
        <v>0</v>
      </c>
    </row>
    <row r="347" spans="1:20" x14ac:dyDescent="0.25">
      <c r="A347" s="6" t="str">
        <f>"46358978"</f>
        <v>46358978</v>
      </c>
      <c r="B347" s="6" t="s">
        <v>158</v>
      </c>
      <c r="C347" s="6"/>
      <c r="D347" s="6"/>
      <c r="E347" s="6">
        <v>27</v>
      </c>
      <c r="F347" s="6">
        <v>471.04399983585</v>
      </c>
      <c r="G347" s="6">
        <v>428.54956660829998</v>
      </c>
      <c r="H347" s="6">
        <v>0</v>
      </c>
      <c r="I347" s="6">
        <v>0</v>
      </c>
      <c r="J347" s="6">
        <v>0</v>
      </c>
      <c r="K347" s="6">
        <v>1</v>
      </c>
      <c r="L347" s="6">
        <v>0</v>
      </c>
      <c r="M347" s="6">
        <v>31.7547</v>
      </c>
      <c r="N347" s="6">
        <v>28.5792</v>
      </c>
      <c r="O347" s="6">
        <v>0</v>
      </c>
      <c r="P347" s="6"/>
      <c r="Q347" s="6">
        <v>0</v>
      </c>
      <c r="R347" s="6">
        <v>0</v>
      </c>
      <c r="S347" s="6">
        <v>0</v>
      </c>
      <c r="T347" s="9">
        <f t="shared" si="17"/>
        <v>457.1287666083</v>
      </c>
    </row>
    <row r="348" spans="1:20" x14ac:dyDescent="0.25">
      <c r="A348" s="6" t="str">
        <f t="shared" ref="A348:A369" si="19">"44555601"</f>
        <v>44555601</v>
      </c>
      <c r="B348" s="6" t="s">
        <v>159</v>
      </c>
      <c r="C348" s="6"/>
      <c r="D348" s="6" t="s">
        <v>246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/>
      <c r="Q348" s="6">
        <v>0</v>
      </c>
      <c r="R348" s="6">
        <v>0</v>
      </c>
      <c r="S348" s="6">
        <v>0</v>
      </c>
      <c r="T348" s="9">
        <f t="shared" si="17"/>
        <v>0</v>
      </c>
    </row>
    <row r="349" spans="1:20" x14ac:dyDescent="0.25">
      <c r="A349" s="6" t="str">
        <f t="shared" si="19"/>
        <v>44555601</v>
      </c>
      <c r="B349" s="6" t="s">
        <v>159</v>
      </c>
      <c r="C349" s="6"/>
      <c r="D349" s="6"/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/>
      <c r="Q349" s="6">
        <v>0</v>
      </c>
      <c r="R349" s="6">
        <v>0</v>
      </c>
      <c r="S349" s="6">
        <v>0</v>
      </c>
      <c r="T349" s="9">
        <f t="shared" si="17"/>
        <v>0</v>
      </c>
    </row>
    <row r="350" spans="1:20" x14ac:dyDescent="0.25">
      <c r="A350" s="6" t="str">
        <f t="shared" si="19"/>
        <v>44555601</v>
      </c>
      <c r="B350" s="6" t="s">
        <v>159</v>
      </c>
      <c r="C350" s="6">
        <v>13410</v>
      </c>
      <c r="D350" s="6" t="s">
        <v>307</v>
      </c>
      <c r="E350" s="6">
        <v>381</v>
      </c>
      <c r="F350" s="6">
        <v>3607.9565267769999</v>
      </c>
      <c r="G350" s="6">
        <v>3357.5571956263002</v>
      </c>
      <c r="H350" s="6">
        <v>0</v>
      </c>
      <c r="I350" s="6">
        <v>0</v>
      </c>
      <c r="J350" s="6">
        <v>0</v>
      </c>
      <c r="K350" s="6">
        <v>5.7115400000000003</v>
      </c>
      <c r="L350" s="6">
        <v>0</v>
      </c>
      <c r="M350" s="6">
        <v>384.05900000000003</v>
      </c>
      <c r="N350" s="6">
        <v>345.65300000000002</v>
      </c>
      <c r="O350" s="6">
        <v>0</v>
      </c>
      <c r="P350" s="6">
        <v>0</v>
      </c>
      <c r="Q350" s="6">
        <v>156.94073729339999</v>
      </c>
      <c r="R350" s="6">
        <v>156.94073729339999</v>
      </c>
      <c r="S350" s="6">
        <v>415.197</v>
      </c>
      <c r="T350" s="9">
        <f t="shared" si="17"/>
        <v>4275.3479329197007</v>
      </c>
    </row>
    <row r="351" spans="1:20" x14ac:dyDescent="0.25">
      <c r="A351" s="6" t="str">
        <f t="shared" si="19"/>
        <v>44555601</v>
      </c>
      <c r="B351" s="6" t="s">
        <v>159</v>
      </c>
      <c r="C351" s="6">
        <v>13420</v>
      </c>
      <c r="D351" s="6" t="s">
        <v>450</v>
      </c>
      <c r="E351" s="6">
        <v>200</v>
      </c>
      <c r="F351" s="6">
        <v>2069.8094383162002</v>
      </c>
      <c r="G351" s="6">
        <v>1852.2500718843</v>
      </c>
      <c r="H351" s="6">
        <v>0</v>
      </c>
      <c r="I351" s="6">
        <v>0</v>
      </c>
      <c r="J351" s="6">
        <v>0</v>
      </c>
      <c r="K351" s="6">
        <v>5.7115400000000003</v>
      </c>
      <c r="L351" s="6">
        <v>0</v>
      </c>
      <c r="M351" s="6">
        <v>142.43299999999999</v>
      </c>
      <c r="N351" s="6">
        <v>128.19</v>
      </c>
      <c r="O351" s="6">
        <v>60</v>
      </c>
      <c r="P351" s="6">
        <v>60</v>
      </c>
      <c r="Q351" s="6">
        <v>4.7446248438999996</v>
      </c>
      <c r="R351" s="6">
        <v>64.744624843899999</v>
      </c>
      <c r="S351" s="6">
        <v>67.603300000000004</v>
      </c>
      <c r="T351" s="9">
        <f t="shared" si="17"/>
        <v>2112.7879967282001</v>
      </c>
    </row>
    <row r="352" spans="1:20" x14ac:dyDescent="0.25">
      <c r="A352" s="6" t="str">
        <f t="shared" si="19"/>
        <v>44555601</v>
      </c>
      <c r="B352" s="6" t="s">
        <v>159</v>
      </c>
      <c r="C352" s="6">
        <v>13430</v>
      </c>
      <c r="D352" s="6" t="s">
        <v>311</v>
      </c>
      <c r="E352" s="6">
        <v>320</v>
      </c>
      <c r="F352" s="6">
        <v>3288.3916722222998</v>
      </c>
      <c r="G352" s="6">
        <v>3081.1325338759002</v>
      </c>
      <c r="H352" s="6">
        <v>0</v>
      </c>
      <c r="I352" s="6">
        <v>0</v>
      </c>
      <c r="J352" s="6">
        <v>0</v>
      </c>
      <c r="K352" s="6">
        <v>5.7115400000000003</v>
      </c>
      <c r="L352" s="6">
        <v>0</v>
      </c>
      <c r="M352" s="6">
        <v>340.83499999999998</v>
      </c>
      <c r="N352" s="6">
        <v>306.75099999999998</v>
      </c>
      <c r="O352" s="6">
        <v>0</v>
      </c>
      <c r="P352" s="6"/>
      <c r="Q352" s="6">
        <v>0</v>
      </c>
      <c r="R352" s="6">
        <v>0</v>
      </c>
      <c r="S352" s="6">
        <v>0</v>
      </c>
      <c r="T352" s="9">
        <f t="shared" si="17"/>
        <v>3387.8835338759</v>
      </c>
    </row>
    <row r="353" spans="1:20" x14ac:dyDescent="0.25">
      <c r="A353" s="6" t="str">
        <f t="shared" si="19"/>
        <v>44555601</v>
      </c>
      <c r="B353" s="6" t="s">
        <v>159</v>
      </c>
      <c r="C353" s="6">
        <v>13440</v>
      </c>
      <c r="D353" s="6" t="s">
        <v>310</v>
      </c>
      <c r="E353" s="6">
        <v>412</v>
      </c>
      <c r="F353" s="6">
        <v>4923.4371437478003</v>
      </c>
      <c r="G353" s="6">
        <v>5456.6642595338999</v>
      </c>
      <c r="H353" s="6">
        <v>0</v>
      </c>
      <c r="I353" s="6">
        <v>0</v>
      </c>
      <c r="J353" s="6">
        <v>0</v>
      </c>
      <c r="K353" s="6">
        <v>5.7115400000000003</v>
      </c>
      <c r="L353" s="6">
        <v>0</v>
      </c>
      <c r="M353" s="6">
        <v>551.62699999999995</v>
      </c>
      <c r="N353" s="6">
        <v>496.464</v>
      </c>
      <c r="O353" s="6">
        <v>0</v>
      </c>
      <c r="P353" s="6">
        <v>0</v>
      </c>
      <c r="Q353" s="6">
        <v>5.0513893811999999</v>
      </c>
      <c r="R353" s="6">
        <v>5.0513893811999999</v>
      </c>
      <c r="S353" s="6">
        <v>197.28700000000001</v>
      </c>
      <c r="T353" s="9">
        <f t="shared" si="17"/>
        <v>6155.4666489151004</v>
      </c>
    </row>
    <row r="354" spans="1:20" x14ac:dyDescent="0.25">
      <c r="A354" s="6" t="str">
        <f t="shared" si="19"/>
        <v>44555601</v>
      </c>
      <c r="B354" s="6" t="s">
        <v>159</v>
      </c>
      <c r="C354" s="6">
        <v>13450</v>
      </c>
      <c r="D354" s="6" t="s">
        <v>441</v>
      </c>
      <c r="E354" s="6">
        <v>9</v>
      </c>
      <c r="F354" s="6">
        <v>37.350000143050998</v>
      </c>
      <c r="G354" s="6">
        <v>34.990000128745997</v>
      </c>
      <c r="H354" s="6">
        <v>0</v>
      </c>
      <c r="I354" s="6">
        <v>0</v>
      </c>
      <c r="J354" s="6">
        <v>0</v>
      </c>
      <c r="K354" s="6">
        <v>5.7115400000000003</v>
      </c>
      <c r="L354" s="6">
        <v>0</v>
      </c>
      <c r="M354" s="6">
        <v>6.2880000000000003</v>
      </c>
      <c r="N354" s="6">
        <v>5.6592000000000002</v>
      </c>
      <c r="O354" s="6">
        <v>0</v>
      </c>
      <c r="P354" s="6">
        <v>0</v>
      </c>
      <c r="Q354" s="6">
        <v>4.3969583683</v>
      </c>
      <c r="R354" s="6">
        <v>4.3969583683</v>
      </c>
      <c r="S354" s="6">
        <v>7.7380000000000004</v>
      </c>
      <c r="T354" s="9">
        <f t="shared" si="17"/>
        <v>52.784158497045993</v>
      </c>
    </row>
    <row r="355" spans="1:20" x14ac:dyDescent="0.25">
      <c r="A355" s="6" t="str">
        <f t="shared" si="19"/>
        <v>44555601</v>
      </c>
      <c r="B355" s="6" t="s">
        <v>159</v>
      </c>
      <c r="C355" s="6">
        <v>13510</v>
      </c>
      <c r="D355" s="6" t="s">
        <v>451</v>
      </c>
      <c r="E355" s="6">
        <v>134</v>
      </c>
      <c r="F355" s="6">
        <v>1382.8858399927999</v>
      </c>
      <c r="G355" s="6">
        <v>1067.3394009315</v>
      </c>
      <c r="H355" s="6">
        <v>0</v>
      </c>
      <c r="I355" s="6">
        <v>0</v>
      </c>
      <c r="J355" s="6">
        <v>0</v>
      </c>
      <c r="K355" s="6">
        <v>5.7115400000000003</v>
      </c>
      <c r="L355" s="6">
        <v>0</v>
      </c>
      <c r="M355" s="6">
        <v>61.018999999999998</v>
      </c>
      <c r="N355" s="6">
        <v>54.917099999999998</v>
      </c>
      <c r="O355" s="6">
        <v>0</v>
      </c>
      <c r="P355" s="6">
        <v>0</v>
      </c>
      <c r="Q355" s="6">
        <v>4.8468796896999997</v>
      </c>
      <c r="R355" s="6">
        <v>4.8468796896999997</v>
      </c>
      <c r="S355" s="6">
        <v>10.225</v>
      </c>
      <c r="T355" s="9">
        <f t="shared" si="17"/>
        <v>1137.3283806211998</v>
      </c>
    </row>
    <row r="356" spans="1:20" x14ac:dyDescent="0.25">
      <c r="A356" s="6" t="str">
        <f t="shared" si="19"/>
        <v>44555601</v>
      </c>
      <c r="B356" s="6" t="s">
        <v>159</v>
      </c>
      <c r="C356" s="6">
        <v>13520</v>
      </c>
      <c r="D356" s="6" t="s">
        <v>264</v>
      </c>
      <c r="E356" s="6">
        <v>167</v>
      </c>
      <c r="F356" s="6">
        <v>1569.5037443301001</v>
      </c>
      <c r="G356" s="6">
        <v>1665.6281955177999</v>
      </c>
      <c r="H356" s="6">
        <v>0</v>
      </c>
      <c r="I356" s="6">
        <v>0</v>
      </c>
      <c r="J356" s="6">
        <v>0</v>
      </c>
      <c r="K356" s="6">
        <v>5.7115400000000003</v>
      </c>
      <c r="L356" s="6">
        <v>0</v>
      </c>
      <c r="M356" s="6">
        <v>348.55599999999998</v>
      </c>
      <c r="N356" s="6">
        <v>313.7</v>
      </c>
      <c r="O356" s="6">
        <v>10</v>
      </c>
      <c r="P356" s="6">
        <v>5</v>
      </c>
      <c r="Q356" s="6">
        <v>198.72206727650001</v>
      </c>
      <c r="R356" s="6">
        <v>203.72206727650001</v>
      </c>
      <c r="S356" s="6">
        <v>1172.27</v>
      </c>
      <c r="T356" s="9">
        <f t="shared" si="17"/>
        <v>3355.3202627943001</v>
      </c>
    </row>
    <row r="357" spans="1:20" x14ac:dyDescent="0.25">
      <c r="A357" s="6" t="str">
        <f t="shared" si="19"/>
        <v>44555601</v>
      </c>
      <c r="B357" s="6" t="s">
        <v>159</v>
      </c>
      <c r="C357" s="6">
        <v>13530</v>
      </c>
      <c r="D357" s="6" t="s">
        <v>452</v>
      </c>
      <c r="E357" s="6">
        <v>59</v>
      </c>
      <c r="F357" s="6">
        <v>700.69296182762002</v>
      </c>
      <c r="G357" s="6">
        <v>639.84201607840998</v>
      </c>
      <c r="H357" s="6">
        <v>0</v>
      </c>
      <c r="I357" s="6">
        <v>0</v>
      </c>
      <c r="J357" s="6">
        <v>0</v>
      </c>
      <c r="K357" s="6">
        <v>5.7115400000000003</v>
      </c>
      <c r="L357" s="6">
        <v>0</v>
      </c>
      <c r="M357" s="6">
        <v>47.898000000000003</v>
      </c>
      <c r="N357" s="6">
        <v>43.108199999999997</v>
      </c>
      <c r="O357" s="6">
        <v>0</v>
      </c>
      <c r="P357" s="6"/>
      <c r="Q357" s="6">
        <v>0</v>
      </c>
      <c r="R357" s="6">
        <v>0</v>
      </c>
      <c r="S357" s="6">
        <v>0</v>
      </c>
      <c r="T357" s="9">
        <f t="shared" si="17"/>
        <v>682.95021607840999</v>
      </c>
    </row>
    <row r="358" spans="1:20" x14ac:dyDescent="0.25">
      <c r="A358" s="6" t="str">
        <f t="shared" si="19"/>
        <v>44555601</v>
      </c>
      <c r="B358" s="6" t="s">
        <v>159</v>
      </c>
      <c r="C358" s="6">
        <v>13610</v>
      </c>
      <c r="D358" s="6" t="s">
        <v>442</v>
      </c>
      <c r="E358" s="6">
        <v>5</v>
      </c>
      <c r="F358" s="6">
        <v>15.322999954224001</v>
      </c>
      <c r="G358" s="6">
        <v>13.495999932288999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/>
      <c r="Q358" s="6">
        <v>0</v>
      </c>
      <c r="R358" s="6">
        <v>0</v>
      </c>
      <c r="S358" s="6">
        <v>0</v>
      </c>
      <c r="T358" s="9">
        <f t="shared" si="17"/>
        <v>13.495999932288999</v>
      </c>
    </row>
    <row r="359" spans="1:20" x14ac:dyDescent="0.25">
      <c r="A359" s="6" t="str">
        <f t="shared" si="19"/>
        <v>44555601</v>
      </c>
      <c r="B359" s="6" t="s">
        <v>159</v>
      </c>
      <c r="C359" s="6">
        <v>13620</v>
      </c>
      <c r="D359" s="6" t="s">
        <v>453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/>
      <c r="Q359" s="6">
        <v>0</v>
      </c>
      <c r="R359" s="6">
        <v>0</v>
      </c>
      <c r="S359" s="6">
        <v>0</v>
      </c>
      <c r="T359" s="9">
        <f t="shared" si="17"/>
        <v>0</v>
      </c>
    </row>
    <row r="360" spans="1:20" x14ac:dyDescent="0.25">
      <c r="A360" s="6" t="str">
        <f t="shared" si="19"/>
        <v>44555601</v>
      </c>
      <c r="B360" s="6" t="s">
        <v>159</v>
      </c>
      <c r="C360" s="6">
        <v>13630</v>
      </c>
      <c r="D360" s="6" t="s">
        <v>454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/>
      <c r="Q360" s="6">
        <v>0</v>
      </c>
      <c r="R360" s="6">
        <v>0</v>
      </c>
      <c r="S360" s="6">
        <v>0</v>
      </c>
      <c r="T360" s="9">
        <f t="shared" si="17"/>
        <v>0</v>
      </c>
    </row>
    <row r="361" spans="1:20" x14ac:dyDescent="0.25">
      <c r="A361" s="6" t="str">
        <f t="shared" si="19"/>
        <v>44555601</v>
      </c>
      <c r="B361" s="6" t="s">
        <v>159</v>
      </c>
      <c r="C361" s="6">
        <v>13640</v>
      </c>
      <c r="D361" s="6" t="s">
        <v>455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/>
      <c r="Q361" s="6">
        <v>0</v>
      </c>
      <c r="R361" s="6">
        <v>0</v>
      </c>
      <c r="S361" s="6">
        <v>0</v>
      </c>
      <c r="T361" s="9">
        <f t="shared" si="17"/>
        <v>0</v>
      </c>
    </row>
    <row r="362" spans="1:20" x14ac:dyDescent="0.25">
      <c r="A362" s="6" t="str">
        <f t="shared" si="19"/>
        <v>44555601</v>
      </c>
      <c r="B362" s="6" t="s">
        <v>159</v>
      </c>
      <c r="C362" s="6">
        <v>13650</v>
      </c>
      <c r="D362" s="6" t="s">
        <v>456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/>
      <c r="Q362" s="6">
        <v>0</v>
      </c>
      <c r="R362" s="6">
        <v>0</v>
      </c>
      <c r="S362" s="6">
        <v>0</v>
      </c>
      <c r="T362" s="9">
        <f t="shared" si="17"/>
        <v>0</v>
      </c>
    </row>
    <row r="363" spans="1:20" x14ac:dyDescent="0.25">
      <c r="A363" s="6" t="str">
        <f t="shared" si="19"/>
        <v>44555601</v>
      </c>
      <c r="B363" s="6" t="s">
        <v>159</v>
      </c>
      <c r="C363" s="6">
        <v>13660</v>
      </c>
      <c r="D363" s="6" t="s">
        <v>457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/>
      <c r="Q363" s="6">
        <v>0</v>
      </c>
      <c r="R363" s="6">
        <v>0</v>
      </c>
      <c r="S363" s="6">
        <v>0</v>
      </c>
      <c r="T363" s="9">
        <f t="shared" si="17"/>
        <v>0</v>
      </c>
    </row>
    <row r="364" spans="1:20" x14ac:dyDescent="0.25">
      <c r="A364" s="6" t="str">
        <f t="shared" si="19"/>
        <v>44555601</v>
      </c>
      <c r="B364" s="6" t="s">
        <v>159</v>
      </c>
      <c r="C364" s="6">
        <v>13670</v>
      </c>
      <c r="D364" s="6" t="s">
        <v>458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/>
      <c r="Q364" s="6">
        <v>0</v>
      </c>
      <c r="R364" s="6">
        <v>0</v>
      </c>
      <c r="S364" s="6">
        <v>0</v>
      </c>
      <c r="T364" s="9">
        <f t="shared" si="17"/>
        <v>0</v>
      </c>
    </row>
    <row r="365" spans="1:20" x14ac:dyDescent="0.25">
      <c r="A365" s="6" t="str">
        <f t="shared" si="19"/>
        <v>44555601</v>
      </c>
      <c r="B365" s="6" t="s">
        <v>159</v>
      </c>
      <c r="C365" s="6">
        <v>13680</v>
      </c>
      <c r="D365" s="6" t="s">
        <v>459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/>
      <c r="Q365" s="6">
        <v>0</v>
      </c>
      <c r="R365" s="6">
        <v>0</v>
      </c>
      <c r="S365" s="6">
        <v>0</v>
      </c>
      <c r="T365" s="9">
        <f t="shared" si="17"/>
        <v>0</v>
      </c>
    </row>
    <row r="366" spans="1:20" x14ac:dyDescent="0.25">
      <c r="A366" s="6" t="str">
        <f t="shared" si="19"/>
        <v>44555601</v>
      </c>
      <c r="B366" s="6" t="s">
        <v>159</v>
      </c>
      <c r="C366" s="6">
        <v>13690</v>
      </c>
      <c r="D366" s="6" t="s">
        <v>460</v>
      </c>
      <c r="E366" s="6">
        <v>3</v>
      </c>
      <c r="F366" s="6">
        <v>29.208999991416999</v>
      </c>
      <c r="G366" s="6">
        <v>23.356000423430999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/>
      <c r="Q366" s="6">
        <v>0</v>
      </c>
      <c r="R366" s="6">
        <v>0</v>
      </c>
      <c r="S366" s="6">
        <v>10.731</v>
      </c>
      <c r="T366" s="9">
        <f t="shared" si="17"/>
        <v>34.087000423431</v>
      </c>
    </row>
    <row r="367" spans="1:20" x14ac:dyDescent="0.25">
      <c r="A367" s="6" t="str">
        <f t="shared" si="19"/>
        <v>44555601</v>
      </c>
      <c r="B367" s="6" t="s">
        <v>159</v>
      </c>
      <c r="C367" s="6">
        <v>13810</v>
      </c>
      <c r="D367" s="6" t="s">
        <v>258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5.7115400000000003</v>
      </c>
      <c r="L367" s="6">
        <v>0</v>
      </c>
      <c r="M367" s="6">
        <v>1.4419999999999999</v>
      </c>
      <c r="N367" s="6">
        <v>1.2978000000000001</v>
      </c>
      <c r="O367" s="6">
        <v>0</v>
      </c>
      <c r="P367" s="6">
        <v>0</v>
      </c>
      <c r="Q367" s="6">
        <v>20.553224000499998</v>
      </c>
      <c r="R367" s="6">
        <v>20.553224000499998</v>
      </c>
      <c r="S367" s="6">
        <v>22.033000000000001</v>
      </c>
      <c r="T367" s="9">
        <f t="shared" si="17"/>
        <v>43.884024000499998</v>
      </c>
    </row>
    <row r="368" spans="1:20" x14ac:dyDescent="0.25">
      <c r="A368" s="6" t="str">
        <f t="shared" si="19"/>
        <v>44555601</v>
      </c>
      <c r="B368" s="6" t="s">
        <v>159</v>
      </c>
      <c r="C368" s="6">
        <v>13830</v>
      </c>
      <c r="D368" s="6" t="s">
        <v>461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/>
      <c r="Q368" s="6">
        <v>0</v>
      </c>
      <c r="R368" s="6">
        <v>0</v>
      </c>
      <c r="S368" s="6">
        <v>0</v>
      </c>
      <c r="T368" s="9">
        <f t="shared" si="17"/>
        <v>0</v>
      </c>
    </row>
    <row r="369" spans="1:20" x14ac:dyDescent="0.25">
      <c r="A369" s="6" t="str">
        <f t="shared" si="19"/>
        <v>44555601</v>
      </c>
      <c r="B369" s="6" t="s">
        <v>159</v>
      </c>
      <c r="C369" s="6" t="s">
        <v>462</v>
      </c>
      <c r="D369" s="6" t="s">
        <v>257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/>
      <c r="Q369" s="6">
        <v>0</v>
      </c>
      <c r="R369" s="6">
        <v>0</v>
      </c>
      <c r="S369" s="6">
        <v>0</v>
      </c>
      <c r="T369" s="9">
        <f t="shared" si="17"/>
        <v>0</v>
      </c>
    </row>
    <row r="370" spans="1:20" x14ac:dyDescent="0.25">
      <c r="A370" s="6" t="str">
        <f t="shared" ref="A370:A407" si="20">"00216208"</f>
        <v>00216208</v>
      </c>
      <c r="B370" s="6" t="s">
        <v>160</v>
      </c>
      <c r="C370" s="6"/>
      <c r="D370" s="6" t="s">
        <v>246</v>
      </c>
      <c r="E370" s="6">
        <v>0</v>
      </c>
      <c r="F370" s="6">
        <v>0</v>
      </c>
      <c r="G370" s="6">
        <v>0</v>
      </c>
      <c r="H370" s="6">
        <v>1</v>
      </c>
      <c r="I370" s="6">
        <v>1</v>
      </c>
      <c r="J370" s="6">
        <v>2000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/>
      <c r="Q370" s="6">
        <v>0</v>
      </c>
      <c r="R370" s="6">
        <v>0</v>
      </c>
      <c r="S370" s="6">
        <v>0</v>
      </c>
      <c r="T370" s="9">
        <f t="shared" si="17"/>
        <v>2000</v>
      </c>
    </row>
    <row r="371" spans="1:20" x14ac:dyDescent="0.25">
      <c r="A371" s="6" t="str">
        <f t="shared" si="20"/>
        <v>00216208</v>
      </c>
      <c r="B371" s="6" t="s">
        <v>160</v>
      </c>
      <c r="C371" s="6"/>
      <c r="D371" s="6"/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/>
      <c r="Q371" s="6">
        <v>0</v>
      </c>
      <c r="R371" s="6">
        <v>0</v>
      </c>
      <c r="S371" s="6">
        <v>0</v>
      </c>
      <c r="T371" s="9">
        <f t="shared" si="17"/>
        <v>0</v>
      </c>
    </row>
    <row r="372" spans="1:20" x14ac:dyDescent="0.25">
      <c r="A372" s="6" t="str">
        <f t="shared" si="20"/>
        <v>00216208</v>
      </c>
      <c r="B372" s="6" t="s">
        <v>160</v>
      </c>
      <c r="C372" s="6">
        <v>11110</v>
      </c>
      <c r="D372" s="6" t="s">
        <v>463</v>
      </c>
      <c r="E372" s="6">
        <v>4121</v>
      </c>
      <c r="F372" s="6">
        <v>43559.952640051997</v>
      </c>
      <c r="G372" s="6">
        <v>42108.026201963999</v>
      </c>
      <c r="H372" s="6">
        <v>0</v>
      </c>
      <c r="I372" s="6">
        <v>0</v>
      </c>
      <c r="J372" s="6">
        <v>0</v>
      </c>
      <c r="K372" s="6">
        <v>154.63399999999999</v>
      </c>
      <c r="L372" s="6">
        <v>7</v>
      </c>
      <c r="M372" s="6">
        <v>6536.1</v>
      </c>
      <c r="N372" s="6">
        <v>6822.66</v>
      </c>
      <c r="O372" s="6">
        <v>10</v>
      </c>
      <c r="P372" s="6">
        <v>6</v>
      </c>
      <c r="Q372" s="6">
        <v>1500.569410759</v>
      </c>
      <c r="R372" s="6">
        <v>1506.569410759</v>
      </c>
      <c r="S372" s="6">
        <v>3555.07</v>
      </c>
      <c r="T372" s="9">
        <f t="shared" si="17"/>
        <v>53992.325612722998</v>
      </c>
    </row>
    <row r="373" spans="1:20" x14ac:dyDescent="0.25">
      <c r="A373" s="6" t="str">
        <f t="shared" si="20"/>
        <v>00216208</v>
      </c>
      <c r="B373" s="6" t="s">
        <v>160</v>
      </c>
      <c r="C373" s="6">
        <v>11120</v>
      </c>
      <c r="D373" s="6" t="s">
        <v>464</v>
      </c>
      <c r="E373" s="6">
        <v>1855</v>
      </c>
      <c r="F373" s="6">
        <v>22456.708950273998</v>
      </c>
      <c r="G373" s="6">
        <v>21174.700679172998</v>
      </c>
      <c r="H373" s="6">
        <v>0</v>
      </c>
      <c r="I373" s="6">
        <v>0</v>
      </c>
      <c r="J373" s="6">
        <v>0</v>
      </c>
      <c r="K373" s="6">
        <v>154.63399999999999</v>
      </c>
      <c r="L373" s="6">
        <v>1</v>
      </c>
      <c r="M373" s="6">
        <v>3852.93</v>
      </c>
      <c r="N373" s="6">
        <v>3693.76</v>
      </c>
      <c r="O373" s="6">
        <v>0</v>
      </c>
      <c r="P373" s="6">
        <v>0</v>
      </c>
      <c r="Q373" s="6">
        <v>317.91031551020001</v>
      </c>
      <c r="R373" s="6">
        <v>317.91031551020001</v>
      </c>
      <c r="S373" s="6">
        <v>817.13400000000001</v>
      </c>
      <c r="T373" s="9">
        <f t="shared" si="17"/>
        <v>26003.504994683193</v>
      </c>
    </row>
    <row r="374" spans="1:20" x14ac:dyDescent="0.25">
      <c r="A374" s="6" t="str">
        <f t="shared" si="20"/>
        <v>00216208</v>
      </c>
      <c r="B374" s="6" t="s">
        <v>160</v>
      </c>
      <c r="C374" s="6">
        <v>11130</v>
      </c>
      <c r="D374" s="6" t="s">
        <v>465</v>
      </c>
      <c r="E374" s="6">
        <v>1870</v>
      </c>
      <c r="F374" s="6">
        <v>16693.800253150999</v>
      </c>
      <c r="G374" s="6">
        <v>15719.003462966</v>
      </c>
      <c r="H374" s="6">
        <v>0</v>
      </c>
      <c r="I374" s="6">
        <v>0</v>
      </c>
      <c r="J374" s="6">
        <v>0</v>
      </c>
      <c r="K374" s="6">
        <v>154.63399999999999</v>
      </c>
      <c r="L374" s="6">
        <v>5</v>
      </c>
      <c r="M374" s="6">
        <v>3122.26</v>
      </c>
      <c r="N374" s="6">
        <v>3607.89</v>
      </c>
      <c r="O374" s="6">
        <v>0</v>
      </c>
      <c r="P374" s="6">
        <v>0</v>
      </c>
      <c r="Q374" s="6">
        <v>1118.0544836889001</v>
      </c>
      <c r="R374" s="6">
        <v>1118.0544836889001</v>
      </c>
      <c r="S374" s="6">
        <v>2496.7800000000002</v>
      </c>
      <c r="T374" s="9">
        <f t="shared" si="17"/>
        <v>22941.727946654897</v>
      </c>
    </row>
    <row r="375" spans="1:20" x14ac:dyDescent="0.25">
      <c r="A375" s="6" t="str">
        <f t="shared" si="20"/>
        <v>00216208</v>
      </c>
      <c r="B375" s="6" t="s">
        <v>160</v>
      </c>
      <c r="C375" s="6">
        <v>11140</v>
      </c>
      <c r="D375" s="6" t="s">
        <v>466</v>
      </c>
      <c r="E375" s="6">
        <v>1048</v>
      </c>
      <c r="F375" s="6">
        <v>11777.70552392</v>
      </c>
      <c r="G375" s="6">
        <v>10943.605379437</v>
      </c>
      <c r="H375" s="6">
        <v>0</v>
      </c>
      <c r="I375" s="6">
        <v>0</v>
      </c>
      <c r="J375" s="6">
        <v>0</v>
      </c>
      <c r="K375" s="6">
        <v>154.63399999999999</v>
      </c>
      <c r="L375" s="6">
        <v>1</v>
      </c>
      <c r="M375" s="6">
        <v>1213.02</v>
      </c>
      <c r="N375" s="6">
        <v>1271.22</v>
      </c>
      <c r="O375" s="6">
        <v>30</v>
      </c>
      <c r="P375" s="6">
        <v>30</v>
      </c>
      <c r="Q375" s="6">
        <v>210.23596291059999</v>
      </c>
      <c r="R375" s="6">
        <v>240.23596291059999</v>
      </c>
      <c r="S375" s="6">
        <v>749.26599999999996</v>
      </c>
      <c r="T375" s="9">
        <f t="shared" si="17"/>
        <v>13204.327342347598</v>
      </c>
    </row>
    <row r="376" spans="1:20" x14ac:dyDescent="0.25">
      <c r="A376" s="6" t="str">
        <f t="shared" si="20"/>
        <v>00216208</v>
      </c>
      <c r="B376" s="6" t="s">
        <v>160</v>
      </c>
      <c r="C376" s="6">
        <v>11150</v>
      </c>
      <c r="D376" s="6" t="s">
        <v>467</v>
      </c>
      <c r="E376" s="6">
        <v>1596</v>
      </c>
      <c r="F376" s="6">
        <v>14705.787160624999</v>
      </c>
      <c r="G376" s="6">
        <v>14047.939133369</v>
      </c>
      <c r="H376" s="6">
        <v>0</v>
      </c>
      <c r="I376" s="6">
        <v>0</v>
      </c>
      <c r="J376" s="6">
        <v>0</v>
      </c>
      <c r="K376" s="6">
        <v>154.63399999999999</v>
      </c>
      <c r="L376" s="6">
        <v>1</v>
      </c>
      <c r="M376" s="6">
        <v>1905.98</v>
      </c>
      <c r="N376" s="6">
        <v>1732.94</v>
      </c>
      <c r="O376" s="6">
        <v>20</v>
      </c>
      <c r="P376" s="6">
        <v>20</v>
      </c>
      <c r="Q376" s="6">
        <v>174.058198476</v>
      </c>
      <c r="R376" s="6">
        <v>194.058198476</v>
      </c>
      <c r="S376" s="6">
        <v>424.8</v>
      </c>
      <c r="T376" s="9">
        <f t="shared" si="17"/>
        <v>16399.737331845001</v>
      </c>
    </row>
    <row r="377" spans="1:20" x14ac:dyDescent="0.25">
      <c r="A377" s="6" t="str">
        <f t="shared" si="20"/>
        <v>00216208</v>
      </c>
      <c r="B377" s="6" t="s">
        <v>160</v>
      </c>
      <c r="C377" s="6">
        <v>11160</v>
      </c>
      <c r="D377" s="6" t="s">
        <v>468</v>
      </c>
      <c r="E377" s="6">
        <v>760</v>
      </c>
      <c r="F377" s="6">
        <v>20986.066566155001</v>
      </c>
      <c r="G377" s="6">
        <v>21670.129983628001</v>
      </c>
      <c r="H377" s="6">
        <v>0</v>
      </c>
      <c r="I377" s="6">
        <v>0</v>
      </c>
      <c r="J377" s="6">
        <v>0</v>
      </c>
      <c r="K377" s="6">
        <v>154.63399999999999</v>
      </c>
      <c r="L377" s="6">
        <v>0</v>
      </c>
      <c r="M377" s="6">
        <v>2105.79</v>
      </c>
      <c r="N377" s="6">
        <v>1895.21</v>
      </c>
      <c r="O377" s="6">
        <v>10</v>
      </c>
      <c r="P377" s="6">
        <v>10</v>
      </c>
      <c r="Q377" s="6">
        <v>84.994227807100003</v>
      </c>
      <c r="R377" s="6">
        <v>94.994227807100003</v>
      </c>
      <c r="S377" s="6">
        <v>381.83800000000002</v>
      </c>
      <c r="T377" s="9">
        <f t="shared" si="17"/>
        <v>24042.1722114351</v>
      </c>
    </row>
    <row r="378" spans="1:20" x14ac:dyDescent="0.25">
      <c r="A378" s="6" t="str">
        <f t="shared" si="20"/>
        <v>00216208</v>
      </c>
      <c r="B378" s="6" t="s">
        <v>160</v>
      </c>
      <c r="C378" s="6">
        <v>11210</v>
      </c>
      <c r="D378" s="6" t="s">
        <v>307</v>
      </c>
      <c r="E378" s="6">
        <v>4014</v>
      </c>
      <c r="F378" s="6">
        <v>46519.019233548999</v>
      </c>
      <c r="G378" s="6">
        <v>42820.902760423996</v>
      </c>
      <c r="H378" s="6">
        <v>0</v>
      </c>
      <c r="I378" s="6">
        <v>0</v>
      </c>
      <c r="J378" s="6">
        <v>0</v>
      </c>
      <c r="K378" s="6">
        <v>154.63399999999999</v>
      </c>
      <c r="L378" s="6">
        <v>1</v>
      </c>
      <c r="M378" s="6">
        <v>5498.24</v>
      </c>
      <c r="N378" s="6">
        <v>5199.08</v>
      </c>
      <c r="O378" s="6">
        <v>0</v>
      </c>
      <c r="P378" s="6">
        <v>0</v>
      </c>
      <c r="Q378" s="6">
        <v>192.2391100545</v>
      </c>
      <c r="R378" s="6">
        <v>192.2391100545</v>
      </c>
      <c r="S378" s="6">
        <v>797.673</v>
      </c>
      <c r="T378" s="9">
        <f t="shared" si="17"/>
        <v>49009.8948704785</v>
      </c>
    </row>
    <row r="379" spans="1:20" x14ac:dyDescent="0.25">
      <c r="A379" s="6" t="str">
        <f t="shared" si="20"/>
        <v>00216208</v>
      </c>
      <c r="B379" s="6" t="s">
        <v>160</v>
      </c>
      <c r="C379" s="6">
        <v>11220</v>
      </c>
      <c r="D379" s="6" t="s">
        <v>329</v>
      </c>
      <c r="E379" s="6">
        <v>1267</v>
      </c>
      <c r="F379" s="6">
        <v>11514.595230481</v>
      </c>
      <c r="G379" s="6">
        <v>10393.902714190999</v>
      </c>
      <c r="H379" s="6">
        <v>0</v>
      </c>
      <c r="I379" s="6">
        <v>0</v>
      </c>
      <c r="J379" s="6">
        <v>0</v>
      </c>
      <c r="K379" s="6">
        <v>154.63399999999999</v>
      </c>
      <c r="L379" s="6">
        <v>1</v>
      </c>
      <c r="M379" s="6">
        <v>1357.24</v>
      </c>
      <c r="N379" s="6">
        <v>1472.18</v>
      </c>
      <c r="O379" s="6">
        <v>0</v>
      </c>
      <c r="P379" s="6">
        <v>0</v>
      </c>
      <c r="Q379" s="6">
        <v>49.654953107700003</v>
      </c>
      <c r="R379" s="6">
        <v>49.654953107700003</v>
      </c>
      <c r="S379" s="6">
        <v>122.8</v>
      </c>
      <c r="T379" s="9">
        <f t="shared" si="17"/>
        <v>12038.537667298699</v>
      </c>
    </row>
    <row r="380" spans="1:20" x14ac:dyDescent="0.25">
      <c r="A380" s="6" t="str">
        <f t="shared" si="20"/>
        <v>00216208</v>
      </c>
      <c r="B380" s="6" t="s">
        <v>160</v>
      </c>
      <c r="C380" s="6">
        <v>11230</v>
      </c>
      <c r="D380" s="6" t="s">
        <v>469</v>
      </c>
      <c r="E380" s="6">
        <v>1427</v>
      </c>
      <c r="F380" s="6">
        <v>19857.116261767002</v>
      </c>
      <c r="G380" s="6">
        <v>17604.267398747001</v>
      </c>
      <c r="H380" s="6">
        <v>0</v>
      </c>
      <c r="I380" s="6">
        <v>0</v>
      </c>
      <c r="J380" s="6">
        <v>0</v>
      </c>
      <c r="K380" s="6">
        <v>154.63399999999999</v>
      </c>
      <c r="L380" s="6">
        <v>2</v>
      </c>
      <c r="M380" s="6">
        <v>1875.57</v>
      </c>
      <c r="N380" s="6">
        <v>1938.68</v>
      </c>
      <c r="O380" s="6">
        <v>0</v>
      </c>
      <c r="P380" s="6">
        <v>0</v>
      </c>
      <c r="Q380" s="6">
        <v>107.1017254633</v>
      </c>
      <c r="R380" s="6">
        <v>107.1017254633</v>
      </c>
      <c r="S380" s="6">
        <v>286.14699999999999</v>
      </c>
      <c r="T380" s="9">
        <f t="shared" si="17"/>
        <v>19936.196124210303</v>
      </c>
    </row>
    <row r="381" spans="1:20" x14ac:dyDescent="0.25">
      <c r="A381" s="6" t="str">
        <f t="shared" si="20"/>
        <v>00216208</v>
      </c>
      <c r="B381" s="6" t="s">
        <v>160</v>
      </c>
      <c r="C381" s="6">
        <v>11240</v>
      </c>
      <c r="D381" s="6" t="s">
        <v>470</v>
      </c>
      <c r="E381" s="6">
        <v>839</v>
      </c>
      <c r="F381" s="6">
        <v>10240.109036809001</v>
      </c>
      <c r="G381" s="6">
        <v>9194.4998014470002</v>
      </c>
      <c r="H381" s="6">
        <v>0</v>
      </c>
      <c r="I381" s="6">
        <v>0</v>
      </c>
      <c r="J381" s="6">
        <v>0</v>
      </c>
      <c r="K381" s="6">
        <v>154.63399999999999</v>
      </c>
      <c r="L381" s="6">
        <v>1</v>
      </c>
      <c r="M381" s="6">
        <v>1060.8599999999999</v>
      </c>
      <c r="N381" s="6">
        <v>1205.44</v>
      </c>
      <c r="O381" s="6">
        <v>0</v>
      </c>
      <c r="P381" s="6">
        <v>0</v>
      </c>
      <c r="Q381" s="6">
        <v>51.884108745500001</v>
      </c>
      <c r="R381" s="6">
        <v>51.884108745500001</v>
      </c>
      <c r="S381" s="6">
        <v>172.489</v>
      </c>
      <c r="T381" s="9">
        <f t="shared" si="17"/>
        <v>10624.312910192501</v>
      </c>
    </row>
    <row r="382" spans="1:20" x14ac:dyDescent="0.25">
      <c r="A382" s="6" t="str">
        <f t="shared" si="20"/>
        <v>00216208</v>
      </c>
      <c r="B382" s="6" t="s">
        <v>160</v>
      </c>
      <c r="C382" s="6">
        <v>11260</v>
      </c>
      <c r="D382" s="6" t="s">
        <v>471</v>
      </c>
      <c r="E382" s="6">
        <v>217</v>
      </c>
      <c r="F382" s="6">
        <v>3256.9604506678002</v>
      </c>
      <c r="G382" s="6">
        <v>2745.1961746267002</v>
      </c>
      <c r="H382" s="6">
        <v>0</v>
      </c>
      <c r="I382" s="6">
        <v>0</v>
      </c>
      <c r="J382" s="6">
        <v>0</v>
      </c>
      <c r="K382" s="6">
        <v>154.63399999999999</v>
      </c>
      <c r="L382" s="6">
        <v>0</v>
      </c>
      <c r="M382" s="6">
        <v>247.886</v>
      </c>
      <c r="N382" s="6">
        <v>223.09700000000001</v>
      </c>
      <c r="O382" s="6">
        <v>0</v>
      </c>
      <c r="P382" s="6">
        <v>0</v>
      </c>
      <c r="Q382" s="6">
        <v>76.486624638699993</v>
      </c>
      <c r="R382" s="6">
        <v>76.486624638699993</v>
      </c>
      <c r="S382" s="6">
        <v>122.20399999999999</v>
      </c>
      <c r="T382" s="9">
        <f t="shared" si="17"/>
        <v>3166.9837992654006</v>
      </c>
    </row>
    <row r="383" spans="1:20" x14ac:dyDescent="0.25">
      <c r="A383" s="6" t="str">
        <f t="shared" si="20"/>
        <v>00216208</v>
      </c>
      <c r="B383" s="6" t="s">
        <v>160</v>
      </c>
      <c r="C383" s="6">
        <v>11270</v>
      </c>
      <c r="D383" s="6" t="s">
        <v>472</v>
      </c>
      <c r="E383" s="6">
        <v>232</v>
      </c>
      <c r="F383" s="6">
        <v>2366.6772221983001</v>
      </c>
      <c r="G383" s="6">
        <v>2220.1876492871002</v>
      </c>
      <c r="H383" s="6">
        <v>0</v>
      </c>
      <c r="I383" s="6">
        <v>0</v>
      </c>
      <c r="J383" s="6">
        <v>0</v>
      </c>
      <c r="K383" s="6">
        <v>154.63399999999999</v>
      </c>
      <c r="L383" s="6">
        <v>0</v>
      </c>
      <c r="M383" s="6">
        <v>542.34199999999998</v>
      </c>
      <c r="N383" s="6">
        <v>488.108</v>
      </c>
      <c r="O383" s="6">
        <v>0</v>
      </c>
      <c r="P383" s="6"/>
      <c r="Q383" s="6">
        <v>0</v>
      </c>
      <c r="R383" s="6">
        <v>0</v>
      </c>
      <c r="S383" s="6">
        <v>0</v>
      </c>
      <c r="T383" s="9">
        <f t="shared" si="17"/>
        <v>2708.2956492871003</v>
      </c>
    </row>
    <row r="384" spans="1:20" x14ac:dyDescent="0.25">
      <c r="A384" s="6" t="str">
        <f t="shared" si="20"/>
        <v>00216208</v>
      </c>
      <c r="B384" s="6" t="s">
        <v>160</v>
      </c>
      <c r="C384" s="6">
        <v>11280</v>
      </c>
      <c r="D384" s="6" t="s">
        <v>473</v>
      </c>
      <c r="E384" s="6">
        <v>245</v>
      </c>
      <c r="F384" s="6">
        <v>1737.3613662243999</v>
      </c>
      <c r="G384" s="6">
        <v>1604.7098955858</v>
      </c>
      <c r="H384" s="6">
        <v>0</v>
      </c>
      <c r="I384" s="6">
        <v>0</v>
      </c>
      <c r="J384" s="6">
        <v>0</v>
      </c>
      <c r="K384" s="6">
        <v>154.63399999999999</v>
      </c>
      <c r="L384" s="6">
        <v>0</v>
      </c>
      <c r="M384" s="6">
        <v>207.785</v>
      </c>
      <c r="N384" s="6">
        <v>187.00700000000001</v>
      </c>
      <c r="O384" s="6">
        <v>0</v>
      </c>
      <c r="P384" s="6"/>
      <c r="Q384" s="6">
        <v>0</v>
      </c>
      <c r="R384" s="6">
        <v>0</v>
      </c>
      <c r="S384" s="6">
        <v>0</v>
      </c>
      <c r="T384" s="9">
        <f t="shared" si="17"/>
        <v>1791.7168955858001</v>
      </c>
    </row>
    <row r="385" spans="1:20" x14ac:dyDescent="0.25">
      <c r="A385" s="6" t="str">
        <f t="shared" si="20"/>
        <v>00216208</v>
      </c>
      <c r="B385" s="6" t="s">
        <v>160</v>
      </c>
      <c r="C385" s="6">
        <v>11310</v>
      </c>
      <c r="D385" s="6" t="s">
        <v>310</v>
      </c>
      <c r="E385" s="6">
        <v>4389</v>
      </c>
      <c r="F385" s="6">
        <v>99171.697053651005</v>
      </c>
      <c r="G385" s="6">
        <v>105813.30715827001</v>
      </c>
      <c r="H385" s="6">
        <v>1</v>
      </c>
      <c r="I385" s="6">
        <v>1</v>
      </c>
      <c r="J385" s="6">
        <v>2000</v>
      </c>
      <c r="K385" s="6">
        <v>154.63399999999999</v>
      </c>
      <c r="L385" s="6">
        <v>17</v>
      </c>
      <c r="M385" s="6">
        <v>14028.9</v>
      </c>
      <c r="N385" s="6">
        <v>14589.4</v>
      </c>
      <c r="O385" s="6">
        <v>20</v>
      </c>
      <c r="P385" s="6">
        <v>14</v>
      </c>
      <c r="Q385" s="6">
        <v>474.81015086529999</v>
      </c>
      <c r="R385" s="6">
        <v>488.81015086529999</v>
      </c>
      <c r="S385" s="6">
        <v>3828.75</v>
      </c>
      <c r="T385" s="9">
        <f t="shared" si="17"/>
        <v>126720.26730913531</v>
      </c>
    </row>
    <row r="386" spans="1:20" x14ac:dyDescent="0.25">
      <c r="A386" s="6" t="str">
        <f t="shared" si="20"/>
        <v>00216208</v>
      </c>
      <c r="B386" s="6" t="s">
        <v>160</v>
      </c>
      <c r="C386" s="6">
        <v>11320</v>
      </c>
      <c r="D386" s="6" t="s">
        <v>474</v>
      </c>
      <c r="E386" s="6">
        <v>5502</v>
      </c>
      <c r="F386" s="6">
        <v>111682.12522661001</v>
      </c>
      <c r="G386" s="6">
        <v>128810.51204005</v>
      </c>
      <c r="H386" s="6">
        <v>1</v>
      </c>
      <c r="I386" s="6">
        <v>1</v>
      </c>
      <c r="J386" s="6">
        <v>2000</v>
      </c>
      <c r="K386" s="6">
        <v>154.63399999999999</v>
      </c>
      <c r="L386" s="6">
        <v>14</v>
      </c>
      <c r="M386" s="6">
        <v>17717.599999999999</v>
      </c>
      <c r="N386" s="6">
        <v>17612.3</v>
      </c>
      <c r="O386" s="6">
        <v>20</v>
      </c>
      <c r="P386" s="6">
        <v>15</v>
      </c>
      <c r="Q386" s="6">
        <v>384.11010266419999</v>
      </c>
      <c r="R386" s="6">
        <v>399.11010266419999</v>
      </c>
      <c r="S386" s="6">
        <v>4117.84</v>
      </c>
      <c r="T386" s="9">
        <f t="shared" si="17"/>
        <v>152939.7621427142</v>
      </c>
    </row>
    <row r="387" spans="1:20" x14ac:dyDescent="0.25">
      <c r="A387" s="6" t="str">
        <f t="shared" si="20"/>
        <v>00216208</v>
      </c>
      <c r="B387" s="6" t="s">
        <v>160</v>
      </c>
      <c r="C387" s="6">
        <v>11410</v>
      </c>
      <c r="D387" s="6" t="s">
        <v>311</v>
      </c>
      <c r="E387" s="6">
        <v>1067</v>
      </c>
      <c r="F387" s="6">
        <v>11123.226777936999</v>
      </c>
      <c r="G387" s="6">
        <v>9677.0776386351008</v>
      </c>
      <c r="H387" s="6">
        <v>0</v>
      </c>
      <c r="I387" s="6">
        <v>0</v>
      </c>
      <c r="J387" s="6">
        <v>0</v>
      </c>
      <c r="K387" s="6">
        <v>154.63399999999999</v>
      </c>
      <c r="L387" s="6">
        <v>1</v>
      </c>
      <c r="M387" s="6">
        <v>1075.5899999999999</v>
      </c>
      <c r="N387" s="6">
        <v>1218.69</v>
      </c>
      <c r="O387" s="6">
        <v>0</v>
      </c>
      <c r="P387" s="6">
        <v>0</v>
      </c>
      <c r="Q387" s="6">
        <v>44.767171479700004</v>
      </c>
      <c r="R387" s="6">
        <v>44.767171479700004</v>
      </c>
      <c r="S387" s="6">
        <v>156.87100000000001</v>
      </c>
      <c r="T387" s="9">
        <f t="shared" si="17"/>
        <v>11097.4058101148</v>
      </c>
    </row>
    <row r="388" spans="1:20" x14ac:dyDescent="0.25">
      <c r="A388" s="6" t="str">
        <f t="shared" si="20"/>
        <v>00216208</v>
      </c>
      <c r="B388" s="6" t="s">
        <v>160</v>
      </c>
      <c r="C388" s="6">
        <v>11510</v>
      </c>
      <c r="D388" s="6" t="s">
        <v>475</v>
      </c>
      <c r="E388" s="6">
        <v>439</v>
      </c>
      <c r="F388" s="6">
        <v>4018.0191126881</v>
      </c>
      <c r="G388" s="6">
        <v>3580.2971868932</v>
      </c>
      <c r="H388" s="6">
        <v>0</v>
      </c>
      <c r="I388" s="6">
        <v>0</v>
      </c>
      <c r="J388" s="6">
        <v>0</v>
      </c>
      <c r="K388" s="6">
        <v>154.63399999999999</v>
      </c>
      <c r="L388" s="6">
        <v>0</v>
      </c>
      <c r="M388" s="6">
        <v>649.46500000000003</v>
      </c>
      <c r="N388" s="6">
        <v>584.51800000000003</v>
      </c>
      <c r="O388" s="6">
        <v>0</v>
      </c>
      <c r="P388" s="6">
        <v>0</v>
      </c>
      <c r="Q388" s="6">
        <v>50.288933151400002</v>
      </c>
      <c r="R388" s="6">
        <v>50.288933151400002</v>
      </c>
      <c r="S388" s="6">
        <v>132.43700000000001</v>
      </c>
      <c r="T388" s="9">
        <f t="shared" si="17"/>
        <v>4347.5411200445997</v>
      </c>
    </row>
    <row r="389" spans="1:20" x14ac:dyDescent="0.25">
      <c r="A389" s="6" t="str">
        <f t="shared" si="20"/>
        <v>00216208</v>
      </c>
      <c r="B389" s="6" t="s">
        <v>160</v>
      </c>
      <c r="C389" s="6">
        <v>11600</v>
      </c>
      <c r="D389" s="6" t="s">
        <v>476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/>
      <c r="Q389" s="6">
        <v>0</v>
      </c>
      <c r="R389" s="6">
        <v>0</v>
      </c>
      <c r="S389" s="6">
        <v>0</v>
      </c>
      <c r="T389" s="9">
        <f t="shared" ref="T389:T452" si="21">G389+J389+N389+R389+S389</f>
        <v>0</v>
      </c>
    </row>
    <row r="390" spans="1:20" x14ac:dyDescent="0.25">
      <c r="A390" s="6" t="str">
        <f t="shared" si="20"/>
        <v>00216208</v>
      </c>
      <c r="B390" s="6" t="s">
        <v>160</v>
      </c>
      <c r="C390" s="6">
        <v>11610</v>
      </c>
      <c r="D390" s="6" t="s">
        <v>477</v>
      </c>
      <c r="E390" s="6">
        <v>92</v>
      </c>
      <c r="F390" s="6">
        <v>975.16658874953998</v>
      </c>
      <c r="G390" s="6">
        <v>983.22488957037001</v>
      </c>
      <c r="H390" s="6">
        <v>0</v>
      </c>
      <c r="I390" s="6">
        <v>0</v>
      </c>
      <c r="J390" s="6">
        <v>0</v>
      </c>
      <c r="K390" s="6">
        <v>154.63399999999999</v>
      </c>
      <c r="L390" s="6">
        <v>0</v>
      </c>
      <c r="M390" s="6">
        <v>226.06100000000001</v>
      </c>
      <c r="N390" s="6">
        <v>203.45500000000001</v>
      </c>
      <c r="O390" s="6">
        <v>0</v>
      </c>
      <c r="P390" s="6"/>
      <c r="Q390" s="6">
        <v>0</v>
      </c>
      <c r="R390" s="6">
        <v>0</v>
      </c>
      <c r="S390" s="6">
        <v>0</v>
      </c>
      <c r="T390" s="9">
        <f t="shared" si="21"/>
        <v>1186.6798895703701</v>
      </c>
    </row>
    <row r="391" spans="1:20" x14ac:dyDescent="0.25">
      <c r="A391" s="6" t="str">
        <f t="shared" si="20"/>
        <v>00216208</v>
      </c>
      <c r="B391" s="6" t="s">
        <v>160</v>
      </c>
      <c r="C391" s="6">
        <v>11620</v>
      </c>
      <c r="D391" s="6" t="s">
        <v>478</v>
      </c>
      <c r="E391" s="6">
        <v>128</v>
      </c>
      <c r="F391" s="6">
        <v>2349.2363876345999</v>
      </c>
      <c r="G391" s="6">
        <v>2265.9052510176998</v>
      </c>
      <c r="H391" s="6">
        <v>0</v>
      </c>
      <c r="I391" s="6">
        <v>0</v>
      </c>
      <c r="J391" s="6">
        <v>0</v>
      </c>
      <c r="K391" s="6">
        <v>154.63399999999999</v>
      </c>
      <c r="L391" s="6">
        <v>0</v>
      </c>
      <c r="M391" s="6">
        <v>433.97399999999999</v>
      </c>
      <c r="N391" s="6">
        <v>390.577</v>
      </c>
      <c r="O391" s="6">
        <v>0</v>
      </c>
      <c r="P391" s="6"/>
      <c r="Q391" s="6">
        <v>0</v>
      </c>
      <c r="R391" s="6">
        <v>0</v>
      </c>
      <c r="S391" s="6">
        <v>0</v>
      </c>
      <c r="T391" s="9">
        <f t="shared" si="21"/>
        <v>2656.4822510177</v>
      </c>
    </row>
    <row r="392" spans="1:20" x14ac:dyDescent="0.25">
      <c r="A392" s="6" t="str">
        <f t="shared" si="20"/>
        <v>00216208</v>
      </c>
      <c r="B392" s="6" t="s">
        <v>160</v>
      </c>
      <c r="C392" s="6">
        <v>11630</v>
      </c>
      <c r="D392" s="6" t="s">
        <v>479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/>
      <c r="Q392" s="6">
        <v>0</v>
      </c>
      <c r="R392" s="6">
        <v>0</v>
      </c>
      <c r="S392" s="6">
        <v>0</v>
      </c>
      <c r="T392" s="9">
        <f t="shared" si="21"/>
        <v>0</v>
      </c>
    </row>
    <row r="393" spans="1:20" x14ac:dyDescent="0.25">
      <c r="A393" s="6" t="str">
        <f t="shared" si="20"/>
        <v>00216208</v>
      </c>
      <c r="B393" s="6" t="s">
        <v>160</v>
      </c>
      <c r="C393" s="6">
        <v>11640</v>
      </c>
      <c r="D393" s="6" t="s">
        <v>480</v>
      </c>
      <c r="E393" s="6">
        <v>144</v>
      </c>
      <c r="F393" s="6">
        <v>2161.1916247872</v>
      </c>
      <c r="G393" s="6">
        <v>1859.8154444632</v>
      </c>
      <c r="H393" s="6">
        <v>0</v>
      </c>
      <c r="I393" s="6">
        <v>0</v>
      </c>
      <c r="J393" s="6">
        <v>0</v>
      </c>
      <c r="K393" s="6">
        <v>154.63399999999999</v>
      </c>
      <c r="L393" s="6">
        <v>1</v>
      </c>
      <c r="M393" s="6">
        <v>437.08</v>
      </c>
      <c r="N393" s="6">
        <v>521.34500000000003</v>
      </c>
      <c r="O393" s="6">
        <v>0</v>
      </c>
      <c r="P393" s="6">
        <v>0</v>
      </c>
      <c r="Q393" s="6">
        <v>3.3744099104999998</v>
      </c>
      <c r="R393" s="6">
        <v>3.3744099104999998</v>
      </c>
      <c r="S393" s="6">
        <v>0</v>
      </c>
      <c r="T393" s="9">
        <f t="shared" si="21"/>
        <v>2384.5348543737005</v>
      </c>
    </row>
    <row r="394" spans="1:20" x14ac:dyDescent="0.25">
      <c r="A394" s="6" t="str">
        <f t="shared" si="20"/>
        <v>00216208</v>
      </c>
      <c r="B394" s="6" t="s">
        <v>160</v>
      </c>
      <c r="C394" s="6">
        <v>11650</v>
      </c>
      <c r="D394" s="6" t="s">
        <v>274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154.63399999999999</v>
      </c>
      <c r="L394" s="6">
        <v>0</v>
      </c>
      <c r="M394" s="6">
        <v>2.782</v>
      </c>
      <c r="N394" s="6">
        <v>2.5038</v>
      </c>
      <c r="O394" s="6">
        <v>0</v>
      </c>
      <c r="P394" s="6"/>
      <c r="Q394" s="6">
        <v>0</v>
      </c>
      <c r="R394" s="6">
        <v>0</v>
      </c>
      <c r="S394" s="6">
        <v>0</v>
      </c>
      <c r="T394" s="9">
        <f t="shared" si="21"/>
        <v>2.5038</v>
      </c>
    </row>
    <row r="395" spans="1:20" x14ac:dyDescent="0.25">
      <c r="A395" s="6" t="str">
        <f t="shared" si="20"/>
        <v>00216208</v>
      </c>
      <c r="B395" s="6" t="s">
        <v>160</v>
      </c>
      <c r="C395" s="6">
        <v>11660</v>
      </c>
      <c r="D395" s="6" t="s">
        <v>481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/>
      <c r="Q395" s="6">
        <v>0</v>
      </c>
      <c r="R395" s="6">
        <v>0</v>
      </c>
      <c r="S395" s="6">
        <v>0</v>
      </c>
      <c r="T395" s="9">
        <f t="shared" si="21"/>
        <v>0</v>
      </c>
    </row>
    <row r="396" spans="1:20" x14ac:dyDescent="0.25">
      <c r="A396" s="6" t="str">
        <f t="shared" si="20"/>
        <v>00216208</v>
      </c>
      <c r="B396" s="6" t="s">
        <v>160</v>
      </c>
      <c r="C396" s="6">
        <v>11670</v>
      </c>
      <c r="D396" s="6" t="s">
        <v>482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/>
      <c r="Q396" s="6">
        <v>0</v>
      </c>
      <c r="R396" s="6">
        <v>0</v>
      </c>
      <c r="S396" s="6">
        <v>0</v>
      </c>
      <c r="T396" s="9">
        <f t="shared" si="21"/>
        <v>0</v>
      </c>
    </row>
    <row r="397" spans="1:20" x14ac:dyDescent="0.25">
      <c r="A397" s="6" t="str">
        <f t="shared" si="20"/>
        <v>00216208</v>
      </c>
      <c r="B397" s="6" t="s">
        <v>160</v>
      </c>
      <c r="C397" s="6">
        <v>11680</v>
      </c>
      <c r="D397" s="6" t="s">
        <v>295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/>
      <c r="Q397" s="6">
        <v>0</v>
      </c>
      <c r="R397" s="6">
        <v>0</v>
      </c>
      <c r="S397" s="6">
        <v>0</v>
      </c>
      <c r="T397" s="9">
        <f t="shared" si="21"/>
        <v>0</v>
      </c>
    </row>
    <row r="398" spans="1:20" x14ac:dyDescent="0.25">
      <c r="A398" s="6" t="str">
        <f t="shared" si="20"/>
        <v>00216208</v>
      </c>
      <c r="B398" s="6" t="s">
        <v>160</v>
      </c>
      <c r="C398" s="6">
        <v>11690</v>
      </c>
      <c r="D398" s="6" t="s">
        <v>483</v>
      </c>
      <c r="E398" s="6">
        <v>90</v>
      </c>
      <c r="F398" s="6">
        <v>2354.1088799665999</v>
      </c>
      <c r="G398" s="6">
        <v>2242.6242594777</v>
      </c>
      <c r="H398" s="6">
        <v>0</v>
      </c>
      <c r="I398" s="6">
        <v>0</v>
      </c>
      <c r="J398" s="6">
        <v>0</v>
      </c>
      <c r="K398" s="6">
        <v>154.63399999999999</v>
      </c>
      <c r="L398" s="6">
        <v>0</v>
      </c>
      <c r="M398" s="6">
        <v>209.55500000000001</v>
      </c>
      <c r="N398" s="6">
        <v>188.6</v>
      </c>
      <c r="O398" s="6">
        <v>0</v>
      </c>
      <c r="P398" s="6">
        <v>0</v>
      </c>
      <c r="Q398" s="6">
        <v>209.70423771259999</v>
      </c>
      <c r="R398" s="6">
        <v>209.70423771259999</v>
      </c>
      <c r="S398" s="6">
        <v>253.03700000000001</v>
      </c>
      <c r="T398" s="9">
        <f t="shared" si="21"/>
        <v>2893.9654971902996</v>
      </c>
    </row>
    <row r="399" spans="1:20" x14ac:dyDescent="0.25">
      <c r="A399" s="6" t="str">
        <f t="shared" si="20"/>
        <v>00216208</v>
      </c>
      <c r="B399" s="6" t="s">
        <v>160</v>
      </c>
      <c r="C399" s="6">
        <v>11700</v>
      </c>
      <c r="D399" s="6" t="s">
        <v>484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/>
      <c r="Q399" s="6">
        <v>0</v>
      </c>
      <c r="R399" s="6">
        <v>0</v>
      </c>
      <c r="S399" s="6">
        <v>0</v>
      </c>
      <c r="T399" s="9">
        <f t="shared" si="21"/>
        <v>0</v>
      </c>
    </row>
    <row r="400" spans="1:20" x14ac:dyDescent="0.25">
      <c r="A400" s="6" t="str">
        <f t="shared" si="20"/>
        <v>00216208</v>
      </c>
      <c r="B400" s="6" t="s">
        <v>160</v>
      </c>
      <c r="C400" s="6">
        <v>11810</v>
      </c>
      <c r="D400" s="6" t="s">
        <v>258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21.678027304</v>
      </c>
      <c r="R400" s="6">
        <v>21.678027304</v>
      </c>
      <c r="S400" s="6">
        <v>0</v>
      </c>
      <c r="T400" s="9">
        <f t="shared" si="21"/>
        <v>21.678027304</v>
      </c>
    </row>
    <row r="401" spans="1:20" x14ac:dyDescent="0.25">
      <c r="A401" s="6" t="str">
        <f t="shared" si="20"/>
        <v>00216208</v>
      </c>
      <c r="B401" s="6" t="s">
        <v>160</v>
      </c>
      <c r="C401" s="6">
        <v>11820</v>
      </c>
      <c r="D401" s="6" t="s">
        <v>485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/>
      <c r="Q401" s="6">
        <v>0</v>
      </c>
      <c r="R401" s="6">
        <v>0</v>
      </c>
      <c r="S401" s="6">
        <v>0</v>
      </c>
      <c r="T401" s="9">
        <f t="shared" si="21"/>
        <v>0</v>
      </c>
    </row>
    <row r="402" spans="1:20" x14ac:dyDescent="0.25">
      <c r="A402" s="6" t="str">
        <f t="shared" si="20"/>
        <v>00216208</v>
      </c>
      <c r="B402" s="6" t="s">
        <v>160</v>
      </c>
      <c r="C402" s="6">
        <v>11830</v>
      </c>
      <c r="D402" s="6" t="s">
        <v>486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/>
      <c r="Q402" s="6">
        <v>0</v>
      </c>
      <c r="R402" s="6">
        <v>0</v>
      </c>
      <c r="S402" s="6">
        <v>0</v>
      </c>
      <c r="T402" s="9">
        <f t="shared" si="21"/>
        <v>0</v>
      </c>
    </row>
    <row r="403" spans="1:20" x14ac:dyDescent="0.25">
      <c r="A403" s="6" t="str">
        <f t="shared" si="20"/>
        <v>00216208</v>
      </c>
      <c r="B403" s="6" t="s">
        <v>160</v>
      </c>
      <c r="C403" s="6">
        <v>11840</v>
      </c>
      <c r="D403" s="6" t="s">
        <v>487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/>
      <c r="Q403" s="6">
        <v>0</v>
      </c>
      <c r="R403" s="6">
        <v>0</v>
      </c>
      <c r="S403" s="6">
        <v>0</v>
      </c>
      <c r="T403" s="9">
        <f t="shared" si="21"/>
        <v>0</v>
      </c>
    </row>
    <row r="404" spans="1:20" x14ac:dyDescent="0.25">
      <c r="A404" s="6" t="str">
        <f t="shared" si="20"/>
        <v>00216208</v>
      </c>
      <c r="B404" s="6" t="s">
        <v>160</v>
      </c>
      <c r="C404" s="6">
        <v>11850</v>
      </c>
      <c r="D404" s="6" t="s">
        <v>488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/>
      <c r="Q404" s="6">
        <v>0</v>
      </c>
      <c r="R404" s="6">
        <v>0</v>
      </c>
      <c r="S404" s="6">
        <v>0</v>
      </c>
      <c r="T404" s="9">
        <f t="shared" si="21"/>
        <v>0</v>
      </c>
    </row>
    <row r="405" spans="1:20" x14ac:dyDescent="0.25">
      <c r="A405" s="6" t="str">
        <f t="shared" si="20"/>
        <v>00216208</v>
      </c>
      <c r="B405" s="6" t="s">
        <v>160</v>
      </c>
      <c r="C405" s="6">
        <v>11860</v>
      </c>
      <c r="D405" s="6" t="s">
        <v>489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/>
      <c r="Q405" s="6">
        <v>0</v>
      </c>
      <c r="R405" s="6">
        <v>0</v>
      </c>
      <c r="S405" s="6">
        <v>0</v>
      </c>
      <c r="T405" s="9">
        <f t="shared" si="21"/>
        <v>0</v>
      </c>
    </row>
    <row r="406" spans="1:20" x14ac:dyDescent="0.25">
      <c r="A406" s="6" t="str">
        <f t="shared" si="20"/>
        <v>00216208</v>
      </c>
      <c r="B406" s="6" t="s">
        <v>160</v>
      </c>
      <c r="C406" s="6">
        <v>11880</v>
      </c>
      <c r="D406" s="6" t="s">
        <v>490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/>
      <c r="Q406" s="6">
        <v>0</v>
      </c>
      <c r="R406" s="6">
        <v>0</v>
      </c>
      <c r="S406" s="6">
        <v>0</v>
      </c>
      <c r="T406" s="9">
        <f t="shared" si="21"/>
        <v>0</v>
      </c>
    </row>
    <row r="407" spans="1:20" x14ac:dyDescent="0.25">
      <c r="A407" s="6" t="str">
        <f t="shared" si="20"/>
        <v>00216208</v>
      </c>
      <c r="B407" s="6" t="s">
        <v>160</v>
      </c>
      <c r="C407" s="6">
        <v>11900</v>
      </c>
      <c r="D407" s="6" t="s">
        <v>491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/>
      <c r="Q407" s="6">
        <v>0</v>
      </c>
      <c r="R407" s="6">
        <v>0</v>
      </c>
      <c r="S407" s="6">
        <v>0</v>
      </c>
      <c r="T407" s="9">
        <f t="shared" si="21"/>
        <v>0</v>
      </c>
    </row>
    <row r="408" spans="1:20" x14ac:dyDescent="0.25">
      <c r="A408" s="6" t="str">
        <f t="shared" ref="A408:A422" si="22">"61989592"</f>
        <v>61989592</v>
      </c>
      <c r="B408" s="6" t="s">
        <v>161</v>
      </c>
      <c r="C408" s="6"/>
      <c r="D408" s="6" t="s">
        <v>246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/>
      <c r="Q408" s="6">
        <v>0</v>
      </c>
      <c r="R408" s="6">
        <v>0</v>
      </c>
      <c r="S408" s="6">
        <v>0</v>
      </c>
      <c r="T408" s="9">
        <f t="shared" si="21"/>
        <v>0</v>
      </c>
    </row>
    <row r="409" spans="1:20" x14ac:dyDescent="0.25">
      <c r="A409" s="6" t="str">
        <f t="shared" si="22"/>
        <v>61989592</v>
      </c>
      <c r="B409" s="6" t="s">
        <v>161</v>
      </c>
      <c r="C409" s="6"/>
      <c r="D409" s="6"/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/>
      <c r="Q409" s="6">
        <v>0</v>
      </c>
      <c r="R409" s="6">
        <v>0</v>
      </c>
      <c r="S409" s="6">
        <v>0</v>
      </c>
      <c r="T409" s="9">
        <f t="shared" si="21"/>
        <v>0</v>
      </c>
    </row>
    <row r="410" spans="1:20" x14ac:dyDescent="0.25">
      <c r="A410" s="6" t="str">
        <f t="shared" si="22"/>
        <v>61989592</v>
      </c>
      <c r="B410" s="6" t="s">
        <v>161</v>
      </c>
      <c r="C410" s="6">
        <v>15110</v>
      </c>
      <c r="D410" s="6" t="s">
        <v>328</v>
      </c>
      <c r="E410" s="6">
        <v>1722</v>
      </c>
      <c r="F410" s="6">
        <v>25126.658464815999</v>
      </c>
      <c r="G410" s="6">
        <v>24537.038856233001</v>
      </c>
      <c r="H410" s="6">
        <v>0</v>
      </c>
      <c r="I410" s="6">
        <v>0</v>
      </c>
      <c r="J410" s="6">
        <v>0</v>
      </c>
      <c r="K410" s="6">
        <v>42.414299999999997</v>
      </c>
      <c r="L410" s="6">
        <v>2</v>
      </c>
      <c r="M410" s="6">
        <v>3365.89</v>
      </c>
      <c r="N410" s="6">
        <v>3316.02</v>
      </c>
      <c r="O410" s="6">
        <v>530</v>
      </c>
      <c r="P410" s="6">
        <v>408</v>
      </c>
      <c r="Q410" s="6">
        <v>1259.0230140725</v>
      </c>
      <c r="R410" s="6">
        <v>1667.0230140725</v>
      </c>
      <c r="S410" s="6">
        <v>3856.03</v>
      </c>
      <c r="T410" s="9">
        <f t="shared" si="21"/>
        <v>33376.111870305504</v>
      </c>
    </row>
    <row r="411" spans="1:20" x14ac:dyDescent="0.25">
      <c r="A411" s="6" t="str">
        <f t="shared" si="22"/>
        <v>61989592</v>
      </c>
      <c r="B411" s="6" t="s">
        <v>161</v>
      </c>
      <c r="C411" s="6">
        <v>15120</v>
      </c>
      <c r="D411" s="6" t="s">
        <v>492</v>
      </c>
      <c r="E411" s="6">
        <v>73</v>
      </c>
      <c r="F411" s="6">
        <v>503.52188446458001</v>
      </c>
      <c r="G411" s="6">
        <v>419.06734600578</v>
      </c>
      <c r="H411" s="6">
        <v>0</v>
      </c>
      <c r="I411" s="6">
        <v>0</v>
      </c>
      <c r="J411" s="6">
        <v>0</v>
      </c>
      <c r="K411" s="6">
        <v>42.414299999999997</v>
      </c>
      <c r="L411" s="6">
        <v>0</v>
      </c>
      <c r="M411" s="6">
        <v>20.715</v>
      </c>
      <c r="N411" s="6">
        <v>18.6435</v>
      </c>
      <c r="O411" s="6">
        <v>0</v>
      </c>
      <c r="P411" s="6"/>
      <c r="Q411" s="6">
        <v>0</v>
      </c>
      <c r="R411" s="6">
        <v>0</v>
      </c>
      <c r="S411" s="6">
        <v>12.893000000000001</v>
      </c>
      <c r="T411" s="9">
        <f t="shared" si="21"/>
        <v>450.60384600578004</v>
      </c>
    </row>
    <row r="412" spans="1:20" x14ac:dyDescent="0.25">
      <c r="A412" s="6" t="str">
        <f t="shared" si="22"/>
        <v>61989592</v>
      </c>
      <c r="B412" s="6" t="s">
        <v>161</v>
      </c>
      <c r="C412" s="6">
        <v>15210</v>
      </c>
      <c r="D412" s="6" t="s">
        <v>307</v>
      </c>
      <c r="E412" s="6">
        <v>2402</v>
      </c>
      <c r="F412" s="6">
        <v>26491.49717717</v>
      </c>
      <c r="G412" s="6">
        <v>23284.203801273001</v>
      </c>
      <c r="H412" s="6">
        <v>0</v>
      </c>
      <c r="I412" s="6">
        <v>0</v>
      </c>
      <c r="J412" s="6">
        <v>0</v>
      </c>
      <c r="K412" s="6">
        <v>42.414299999999997</v>
      </c>
      <c r="L412" s="6">
        <v>0</v>
      </c>
      <c r="M412" s="6">
        <v>2558.21</v>
      </c>
      <c r="N412" s="6">
        <v>2302.39</v>
      </c>
      <c r="O412" s="6">
        <v>0</v>
      </c>
      <c r="P412" s="6">
        <v>0</v>
      </c>
      <c r="Q412" s="6">
        <v>85.0146787762</v>
      </c>
      <c r="R412" s="6">
        <v>85.0146787762</v>
      </c>
      <c r="S412" s="6">
        <v>26.091999999999999</v>
      </c>
      <c r="T412" s="9">
        <f t="shared" si="21"/>
        <v>25697.7004800492</v>
      </c>
    </row>
    <row r="413" spans="1:20" x14ac:dyDescent="0.25">
      <c r="A413" s="6" t="str">
        <f t="shared" si="22"/>
        <v>61989592</v>
      </c>
      <c r="B413" s="6" t="s">
        <v>161</v>
      </c>
      <c r="C413" s="6">
        <v>15220</v>
      </c>
      <c r="D413" s="6" t="s">
        <v>329</v>
      </c>
      <c r="E413" s="6">
        <v>565</v>
      </c>
      <c r="F413" s="6">
        <v>5578.4855704227002</v>
      </c>
      <c r="G413" s="6">
        <v>5063.5712963374999</v>
      </c>
      <c r="H413" s="6">
        <v>0</v>
      </c>
      <c r="I413" s="6">
        <v>0</v>
      </c>
      <c r="J413" s="6">
        <v>0</v>
      </c>
      <c r="K413" s="6">
        <v>42.414299999999997</v>
      </c>
      <c r="L413" s="6">
        <v>0</v>
      </c>
      <c r="M413" s="6">
        <v>408.48099999999999</v>
      </c>
      <c r="N413" s="6">
        <v>367.63299999999998</v>
      </c>
      <c r="O413" s="6">
        <v>0</v>
      </c>
      <c r="P413" s="6">
        <v>0</v>
      </c>
      <c r="Q413" s="6">
        <v>15.9517559407</v>
      </c>
      <c r="R413" s="6">
        <v>15.9517559407</v>
      </c>
      <c r="S413" s="6">
        <v>39.847999999999999</v>
      </c>
      <c r="T413" s="9">
        <f t="shared" si="21"/>
        <v>5487.0040522782001</v>
      </c>
    </row>
    <row r="414" spans="1:20" x14ac:dyDescent="0.25">
      <c r="A414" s="6" t="str">
        <f t="shared" si="22"/>
        <v>61989592</v>
      </c>
      <c r="B414" s="6" t="s">
        <v>161</v>
      </c>
      <c r="C414" s="6">
        <v>15260</v>
      </c>
      <c r="D414" s="6" t="s">
        <v>493</v>
      </c>
      <c r="E414" s="6">
        <v>556</v>
      </c>
      <c r="F414" s="6">
        <v>7235.0829292950002</v>
      </c>
      <c r="G414" s="6">
        <v>6416.6023378218997</v>
      </c>
      <c r="H414" s="6">
        <v>0</v>
      </c>
      <c r="I414" s="6">
        <v>0</v>
      </c>
      <c r="J414" s="6">
        <v>0</v>
      </c>
      <c r="K414" s="6">
        <v>42.414299999999997</v>
      </c>
      <c r="L414" s="6">
        <v>1</v>
      </c>
      <c r="M414" s="6">
        <v>742.49199999999996</v>
      </c>
      <c r="N414" s="6">
        <v>934.13699999999994</v>
      </c>
      <c r="O414" s="6">
        <v>0</v>
      </c>
      <c r="P414" s="6">
        <v>0</v>
      </c>
      <c r="Q414" s="6">
        <v>15.379128804400001</v>
      </c>
      <c r="R414" s="6">
        <v>15.379128804400001</v>
      </c>
      <c r="S414" s="6">
        <v>0</v>
      </c>
      <c r="T414" s="9">
        <f t="shared" si="21"/>
        <v>7366.1184666262998</v>
      </c>
    </row>
    <row r="415" spans="1:20" x14ac:dyDescent="0.25">
      <c r="A415" s="6" t="str">
        <f t="shared" si="22"/>
        <v>61989592</v>
      </c>
      <c r="B415" s="6" t="s">
        <v>161</v>
      </c>
      <c r="C415" s="6">
        <v>15310</v>
      </c>
      <c r="D415" s="6" t="s">
        <v>310</v>
      </c>
      <c r="E415" s="6">
        <v>2982</v>
      </c>
      <c r="F415" s="6">
        <v>79208.130586915999</v>
      </c>
      <c r="G415" s="6">
        <v>89567.361699635003</v>
      </c>
      <c r="H415" s="6">
        <v>0</v>
      </c>
      <c r="I415" s="6">
        <v>0</v>
      </c>
      <c r="J415" s="6">
        <v>0</v>
      </c>
      <c r="K415" s="6">
        <v>42.414299999999997</v>
      </c>
      <c r="L415" s="6">
        <v>8</v>
      </c>
      <c r="M415" s="6">
        <v>10698.3</v>
      </c>
      <c r="N415" s="6">
        <v>10843.8</v>
      </c>
      <c r="O415" s="6">
        <v>930</v>
      </c>
      <c r="P415" s="6">
        <v>731</v>
      </c>
      <c r="Q415" s="6">
        <v>1044.6150534543999</v>
      </c>
      <c r="R415" s="6">
        <v>1775.6150534543999</v>
      </c>
      <c r="S415" s="6">
        <v>6995.23</v>
      </c>
      <c r="T415" s="9">
        <f t="shared" si="21"/>
        <v>109182.0067530894</v>
      </c>
    </row>
    <row r="416" spans="1:20" x14ac:dyDescent="0.25">
      <c r="A416" s="6" t="str">
        <f t="shared" si="22"/>
        <v>61989592</v>
      </c>
      <c r="B416" s="6" t="s">
        <v>161</v>
      </c>
      <c r="C416" s="6">
        <v>15410</v>
      </c>
      <c r="D416" s="6" t="s">
        <v>311</v>
      </c>
      <c r="E416" s="6">
        <v>584</v>
      </c>
      <c r="F416" s="6">
        <v>5366.6994088341999</v>
      </c>
      <c r="G416" s="6">
        <v>4483.3820079041998</v>
      </c>
      <c r="H416" s="6">
        <v>0</v>
      </c>
      <c r="I416" s="6">
        <v>0</v>
      </c>
      <c r="J416" s="6">
        <v>0</v>
      </c>
      <c r="K416" s="6">
        <v>42.414299999999997</v>
      </c>
      <c r="L416" s="6">
        <v>0</v>
      </c>
      <c r="M416" s="6">
        <v>416.505</v>
      </c>
      <c r="N416" s="6">
        <v>374.85399999999998</v>
      </c>
      <c r="O416" s="6">
        <v>0</v>
      </c>
      <c r="P416" s="6"/>
      <c r="Q416" s="6">
        <v>0</v>
      </c>
      <c r="R416" s="6">
        <v>0</v>
      </c>
      <c r="S416" s="6">
        <v>110.027</v>
      </c>
      <c r="T416" s="9">
        <f t="shared" si="21"/>
        <v>4968.2630079042001</v>
      </c>
    </row>
    <row r="417" spans="1:20" x14ac:dyDescent="0.25">
      <c r="A417" s="6" t="str">
        <f t="shared" si="22"/>
        <v>61989592</v>
      </c>
      <c r="B417" s="6" t="s">
        <v>161</v>
      </c>
      <c r="C417" s="6">
        <v>15510</v>
      </c>
      <c r="D417" s="6" t="s">
        <v>494</v>
      </c>
      <c r="E417" s="6">
        <v>515</v>
      </c>
      <c r="F417" s="6">
        <v>5597.2148724873996</v>
      </c>
      <c r="G417" s="6">
        <v>4567.8773639320998</v>
      </c>
      <c r="H417" s="6">
        <v>0</v>
      </c>
      <c r="I417" s="6">
        <v>0</v>
      </c>
      <c r="J417" s="6">
        <v>0</v>
      </c>
      <c r="K417" s="6">
        <v>42.414299999999997</v>
      </c>
      <c r="L417" s="6">
        <v>0</v>
      </c>
      <c r="M417" s="6">
        <v>475.14800000000002</v>
      </c>
      <c r="N417" s="6">
        <v>427.63299999999998</v>
      </c>
      <c r="O417" s="6">
        <v>0</v>
      </c>
      <c r="P417" s="6"/>
      <c r="Q417" s="6">
        <v>0</v>
      </c>
      <c r="R417" s="6">
        <v>0</v>
      </c>
      <c r="S417" s="6">
        <v>227.43899999999999</v>
      </c>
      <c r="T417" s="9">
        <f t="shared" si="21"/>
        <v>5222.9493639320999</v>
      </c>
    </row>
    <row r="418" spans="1:20" x14ac:dyDescent="0.25">
      <c r="A418" s="6" t="str">
        <f t="shared" si="22"/>
        <v>61989592</v>
      </c>
      <c r="B418" s="6" t="s">
        <v>161</v>
      </c>
      <c r="C418" s="6">
        <v>15610</v>
      </c>
      <c r="D418" s="6" t="s">
        <v>495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/>
      <c r="Q418" s="6">
        <v>0</v>
      </c>
      <c r="R418" s="6">
        <v>0</v>
      </c>
      <c r="S418" s="6">
        <v>0</v>
      </c>
      <c r="T418" s="9">
        <f t="shared" si="21"/>
        <v>0</v>
      </c>
    </row>
    <row r="419" spans="1:20" x14ac:dyDescent="0.25">
      <c r="A419" s="6" t="str">
        <f t="shared" si="22"/>
        <v>61989592</v>
      </c>
      <c r="B419" s="6" t="s">
        <v>161</v>
      </c>
      <c r="C419" s="6">
        <v>15620</v>
      </c>
      <c r="D419" s="6" t="s">
        <v>496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/>
      <c r="Q419" s="6">
        <v>0</v>
      </c>
      <c r="R419" s="6">
        <v>0</v>
      </c>
      <c r="S419" s="6">
        <v>0</v>
      </c>
      <c r="T419" s="9">
        <f t="shared" si="21"/>
        <v>0</v>
      </c>
    </row>
    <row r="420" spans="1:20" x14ac:dyDescent="0.25">
      <c r="A420" s="6" t="str">
        <f t="shared" si="22"/>
        <v>61989592</v>
      </c>
      <c r="B420" s="6" t="s">
        <v>161</v>
      </c>
      <c r="C420" s="6">
        <v>15630</v>
      </c>
      <c r="D420" s="6" t="s">
        <v>497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/>
      <c r="Q420" s="6">
        <v>0</v>
      </c>
      <c r="R420" s="6">
        <v>0</v>
      </c>
      <c r="S420" s="6">
        <v>0</v>
      </c>
      <c r="T420" s="9">
        <f t="shared" si="21"/>
        <v>0</v>
      </c>
    </row>
    <row r="421" spans="1:20" x14ac:dyDescent="0.25">
      <c r="A421" s="6" t="str">
        <f t="shared" si="22"/>
        <v>61989592</v>
      </c>
      <c r="B421" s="6" t="s">
        <v>161</v>
      </c>
      <c r="C421" s="6">
        <v>15810</v>
      </c>
      <c r="D421" s="6" t="s">
        <v>498</v>
      </c>
      <c r="E421" s="6">
        <v>10</v>
      </c>
      <c r="F421" s="6">
        <v>87.873000323772004</v>
      </c>
      <c r="G421" s="6">
        <v>80.750998198985997</v>
      </c>
      <c r="H421" s="6">
        <v>0</v>
      </c>
      <c r="I421" s="6">
        <v>0</v>
      </c>
      <c r="J421" s="6">
        <v>0</v>
      </c>
      <c r="K421" s="6">
        <v>42.414299999999997</v>
      </c>
      <c r="L421" s="6">
        <v>0</v>
      </c>
      <c r="M421" s="6">
        <v>22.459</v>
      </c>
      <c r="N421" s="6">
        <v>20.213100000000001</v>
      </c>
      <c r="O421" s="6">
        <v>0</v>
      </c>
      <c r="P421" s="6">
        <v>0</v>
      </c>
      <c r="Q421" s="6">
        <v>28.283690341</v>
      </c>
      <c r="R421" s="6">
        <v>28.283690341</v>
      </c>
      <c r="S421" s="6">
        <v>36.31</v>
      </c>
      <c r="T421" s="9">
        <f t="shared" si="21"/>
        <v>165.55778853998601</v>
      </c>
    </row>
    <row r="422" spans="1:20" x14ac:dyDescent="0.25">
      <c r="A422" s="6" t="str">
        <f t="shared" si="22"/>
        <v>61989592</v>
      </c>
      <c r="B422" s="6" t="s">
        <v>161</v>
      </c>
      <c r="C422" s="6" t="s">
        <v>499</v>
      </c>
      <c r="D422" s="6" t="s">
        <v>257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/>
      <c r="Q422" s="6">
        <v>0</v>
      </c>
      <c r="R422" s="6">
        <v>0</v>
      </c>
      <c r="S422" s="6">
        <v>0</v>
      </c>
      <c r="T422" s="9">
        <f t="shared" si="21"/>
        <v>0</v>
      </c>
    </row>
    <row r="423" spans="1:20" x14ac:dyDescent="0.25">
      <c r="A423" s="6" t="str">
        <f t="shared" ref="A423:A451" si="23">"00216275"</f>
        <v>00216275</v>
      </c>
      <c r="B423" s="6" t="s">
        <v>162</v>
      </c>
      <c r="C423" s="6"/>
      <c r="D423" s="6" t="s">
        <v>246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/>
      <c r="Q423" s="6">
        <v>0</v>
      </c>
      <c r="R423" s="6">
        <v>0</v>
      </c>
      <c r="S423" s="6">
        <v>0</v>
      </c>
      <c r="T423" s="9">
        <f t="shared" si="21"/>
        <v>0</v>
      </c>
    </row>
    <row r="424" spans="1:20" x14ac:dyDescent="0.25">
      <c r="A424" s="6" t="str">
        <f t="shared" si="23"/>
        <v>00216275</v>
      </c>
      <c r="B424" s="6" t="s">
        <v>162</v>
      </c>
      <c r="C424" s="6"/>
      <c r="D424" s="6"/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/>
      <c r="Q424" s="6">
        <v>0</v>
      </c>
      <c r="R424" s="6">
        <v>0</v>
      </c>
      <c r="S424" s="6">
        <v>0</v>
      </c>
      <c r="T424" s="9">
        <f t="shared" si="21"/>
        <v>0</v>
      </c>
    </row>
    <row r="425" spans="1:20" x14ac:dyDescent="0.25">
      <c r="A425" s="6" t="str">
        <f t="shared" si="23"/>
        <v>00216275</v>
      </c>
      <c r="B425" s="6" t="s">
        <v>162</v>
      </c>
      <c r="C425" s="6">
        <v>25110</v>
      </c>
      <c r="D425" s="6" t="s">
        <v>500</v>
      </c>
      <c r="E425" s="6">
        <v>47</v>
      </c>
      <c r="F425" s="6">
        <v>364.02788070646</v>
      </c>
      <c r="G425" s="6">
        <v>382.30496512364999</v>
      </c>
      <c r="H425" s="6">
        <v>0</v>
      </c>
      <c r="I425" s="6">
        <v>0</v>
      </c>
      <c r="J425" s="6">
        <v>0</v>
      </c>
      <c r="K425" s="6">
        <v>16.2377</v>
      </c>
      <c r="L425" s="6">
        <v>0</v>
      </c>
      <c r="M425" s="6">
        <v>60.277999999999999</v>
      </c>
      <c r="N425" s="6">
        <v>54.2502</v>
      </c>
      <c r="O425" s="6">
        <v>0</v>
      </c>
      <c r="P425" s="6">
        <v>0</v>
      </c>
      <c r="Q425" s="6">
        <v>70.9648629669</v>
      </c>
      <c r="R425" s="6">
        <v>70.9648629669</v>
      </c>
      <c r="S425" s="6">
        <v>162.67599999999999</v>
      </c>
      <c r="T425" s="9">
        <f t="shared" si="21"/>
        <v>670.19602809055004</v>
      </c>
    </row>
    <row r="426" spans="1:20" x14ac:dyDescent="0.25">
      <c r="A426" s="6" t="str">
        <f t="shared" si="23"/>
        <v>00216275</v>
      </c>
      <c r="B426" s="6" t="s">
        <v>162</v>
      </c>
      <c r="C426" s="6">
        <v>25210</v>
      </c>
      <c r="D426" s="6" t="s">
        <v>501</v>
      </c>
      <c r="E426" s="6">
        <v>604</v>
      </c>
      <c r="F426" s="6">
        <v>7591.7868874373999</v>
      </c>
      <c r="G426" s="6">
        <v>6982.6801340044003</v>
      </c>
      <c r="H426" s="6">
        <v>0</v>
      </c>
      <c r="I426" s="6">
        <v>0</v>
      </c>
      <c r="J426" s="6">
        <v>0</v>
      </c>
      <c r="K426" s="6">
        <v>16.2377</v>
      </c>
      <c r="L426" s="6">
        <v>1</v>
      </c>
      <c r="M426" s="6">
        <v>833.67399999999998</v>
      </c>
      <c r="N426" s="6">
        <v>989.98400000000004</v>
      </c>
      <c r="O426" s="6">
        <v>0</v>
      </c>
      <c r="P426" s="6"/>
      <c r="Q426" s="6">
        <v>0</v>
      </c>
      <c r="R426" s="6">
        <v>0</v>
      </c>
      <c r="S426" s="6">
        <v>83.174700000000001</v>
      </c>
      <c r="T426" s="9">
        <f t="shared" si="21"/>
        <v>8055.8388340044003</v>
      </c>
    </row>
    <row r="427" spans="1:20" x14ac:dyDescent="0.25">
      <c r="A427" s="6" t="str">
        <f t="shared" si="23"/>
        <v>00216275</v>
      </c>
      <c r="B427" s="6" t="s">
        <v>162</v>
      </c>
      <c r="C427" s="6">
        <v>25310</v>
      </c>
      <c r="D427" s="6" t="s">
        <v>502</v>
      </c>
      <c r="E427" s="6">
        <v>1185</v>
      </c>
      <c r="F427" s="6">
        <v>34855.714212633997</v>
      </c>
      <c r="G427" s="6">
        <v>40949.770891738001</v>
      </c>
      <c r="H427" s="6">
        <v>0</v>
      </c>
      <c r="I427" s="6">
        <v>0</v>
      </c>
      <c r="J427" s="6">
        <v>0</v>
      </c>
      <c r="K427" s="6">
        <v>16.2377</v>
      </c>
      <c r="L427" s="6">
        <v>0</v>
      </c>
      <c r="M427" s="6">
        <v>4470.1000000000004</v>
      </c>
      <c r="N427" s="6">
        <v>4023.09</v>
      </c>
      <c r="O427" s="6">
        <v>70</v>
      </c>
      <c r="P427" s="6">
        <v>45</v>
      </c>
      <c r="Q427" s="6">
        <v>361.92080113119999</v>
      </c>
      <c r="R427" s="6">
        <v>406.92080113119999</v>
      </c>
      <c r="S427" s="6">
        <v>1415.99</v>
      </c>
      <c r="T427" s="9">
        <f t="shared" si="21"/>
        <v>46795.771692869203</v>
      </c>
    </row>
    <row r="428" spans="1:20" x14ac:dyDescent="0.25">
      <c r="A428" s="6" t="str">
        <f t="shared" si="23"/>
        <v>00216275</v>
      </c>
      <c r="B428" s="6" t="s">
        <v>162</v>
      </c>
      <c r="C428" s="6">
        <v>25410</v>
      </c>
      <c r="D428" s="6" t="s">
        <v>503</v>
      </c>
      <c r="E428" s="6">
        <v>442</v>
      </c>
      <c r="F428" s="6">
        <v>4500.3417265075004</v>
      </c>
      <c r="G428" s="6">
        <v>3775.5710263658998</v>
      </c>
      <c r="H428" s="6">
        <v>0</v>
      </c>
      <c r="I428" s="6">
        <v>0</v>
      </c>
      <c r="J428" s="6">
        <v>0</v>
      </c>
      <c r="K428" s="6">
        <v>16.2377</v>
      </c>
      <c r="L428" s="6">
        <v>0</v>
      </c>
      <c r="M428" s="6">
        <v>414.26299999999998</v>
      </c>
      <c r="N428" s="6">
        <v>372.83699999999999</v>
      </c>
      <c r="O428" s="6">
        <v>0</v>
      </c>
      <c r="P428" s="6">
        <v>0</v>
      </c>
      <c r="Q428" s="6">
        <v>8.1803876618999993</v>
      </c>
      <c r="R428" s="6">
        <v>8.1803876618999993</v>
      </c>
      <c r="S428" s="6">
        <v>43.457000000000001</v>
      </c>
      <c r="T428" s="9">
        <f t="shared" si="21"/>
        <v>4200.0454140277998</v>
      </c>
    </row>
    <row r="429" spans="1:20" x14ac:dyDescent="0.25">
      <c r="A429" s="6" t="str">
        <f t="shared" si="23"/>
        <v>00216275</v>
      </c>
      <c r="B429" s="6" t="s">
        <v>162</v>
      </c>
      <c r="C429" s="6">
        <v>25510</v>
      </c>
      <c r="D429" s="6" t="s">
        <v>504</v>
      </c>
      <c r="E429" s="6">
        <v>215</v>
      </c>
      <c r="F429" s="6">
        <v>1652.0818383441001</v>
      </c>
      <c r="G429" s="6">
        <v>1630.3809726211</v>
      </c>
      <c r="H429" s="6">
        <v>0</v>
      </c>
      <c r="I429" s="6">
        <v>0</v>
      </c>
      <c r="J429" s="6">
        <v>0</v>
      </c>
      <c r="K429" s="6">
        <v>16.2377</v>
      </c>
      <c r="L429" s="6">
        <v>0</v>
      </c>
      <c r="M429" s="6">
        <v>345.30799999999999</v>
      </c>
      <c r="N429" s="6">
        <v>310.77699999999999</v>
      </c>
      <c r="O429" s="6">
        <v>0</v>
      </c>
      <c r="P429" s="6">
        <v>0</v>
      </c>
      <c r="Q429" s="6">
        <v>225.00156264029999</v>
      </c>
      <c r="R429" s="6">
        <v>225.00156264029999</v>
      </c>
      <c r="S429" s="6">
        <v>1043.56</v>
      </c>
      <c r="T429" s="9">
        <f t="shared" si="21"/>
        <v>3209.7195352613999</v>
      </c>
    </row>
    <row r="430" spans="1:20" x14ac:dyDescent="0.25">
      <c r="A430" s="6" t="str">
        <f t="shared" si="23"/>
        <v>00216275</v>
      </c>
      <c r="B430" s="6" t="s">
        <v>162</v>
      </c>
      <c r="C430" s="6">
        <v>25520</v>
      </c>
      <c r="D430" s="6" t="s">
        <v>441</v>
      </c>
      <c r="E430" s="6">
        <v>128</v>
      </c>
      <c r="F430" s="6">
        <v>980.21396228409003</v>
      </c>
      <c r="G430" s="6">
        <v>891.12181779359003</v>
      </c>
      <c r="H430" s="6">
        <v>0</v>
      </c>
      <c r="I430" s="6">
        <v>0</v>
      </c>
      <c r="J430" s="6">
        <v>0</v>
      </c>
      <c r="K430" s="6">
        <v>16.2377</v>
      </c>
      <c r="L430" s="6">
        <v>0</v>
      </c>
      <c r="M430" s="6">
        <v>124.13200000000001</v>
      </c>
      <c r="N430" s="6">
        <v>111.71899999999999</v>
      </c>
      <c r="O430" s="6">
        <v>0</v>
      </c>
      <c r="P430" s="6">
        <v>0</v>
      </c>
      <c r="Q430" s="6">
        <v>18.160460609400001</v>
      </c>
      <c r="R430" s="6">
        <v>18.160460609400001</v>
      </c>
      <c r="S430" s="6">
        <v>17.2393</v>
      </c>
      <c r="T430" s="9">
        <f t="shared" si="21"/>
        <v>1038.2405784029902</v>
      </c>
    </row>
    <row r="431" spans="1:20" x14ac:dyDescent="0.25">
      <c r="A431" s="6" t="str">
        <f t="shared" si="23"/>
        <v>00216275</v>
      </c>
      <c r="B431" s="6" t="s">
        <v>162</v>
      </c>
      <c r="C431" s="6">
        <v>25530</v>
      </c>
      <c r="D431" s="6" t="s">
        <v>505</v>
      </c>
      <c r="E431" s="6">
        <v>168</v>
      </c>
      <c r="F431" s="6">
        <v>1328.3144273727</v>
      </c>
      <c r="G431" s="6">
        <v>1041.7837380824001</v>
      </c>
      <c r="H431" s="6">
        <v>0</v>
      </c>
      <c r="I431" s="6">
        <v>0</v>
      </c>
      <c r="J431" s="6">
        <v>0</v>
      </c>
      <c r="K431" s="6">
        <v>16.2377</v>
      </c>
      <c r="L431" s="6">
        <v>0</v>
      </c>
      <c r="M431" s="6">
        <v>284.57100000000003</v>
      </c>
      <c r="N431" s="6">
        <v>256.11399999999998</v>
      </c>
      <c r="O431" s="6">
        <v>10</v>
      </c>
      <c r="P431" s="6">
        <v>10</v>
      </c>
      <c r="Q431" s="6">
        <v>157.676972183</v>
      </c>
      <c r="R431" s="6">
        <v>167.676972183</v>
      </c>
      <c r="S431" s="6">
        <v>1606.45</v>
      </c>
      <c r="T431" s="9">
        <f t="shared" si="21"/>
        <v>3072.0247102654002</v>
      </c>
    </row>
    <row r="432" spans="1:20" x14ac:dyDescent="0.25">
      <c r="A432" s="6" t="str">
        <f t="shared" si="23"/>
        <v>00216275</v>
      </c>
      <c r="B432" s="6" t="s">
        <v>162</v>
      </c>
      <c r="C432" s="6">
        <v>25610</v>
      </c>
      <c r="D432" s="6" t="s">
        <v>506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/>
      <c r="Q432" s="6">
        <v>0</v>
      </c>
      <c r="R432" s="6">
        <v>0</v>
      </c>
      <c r="S432" s="6">
        <v>0</v>
      </c>
      <c r="T432" s="9">
        <f t="shared" si="21"/>
        <v>0</v>
      </c>
    </row>
    <row r="433" spans="1:20" x14ac:dyDescent="0.25">
      <c r="A433" s="6" t="str">
        <f t="shared" si="23"/>
        <v>00216275</v>
      </c>
      <c r="B433" s="6" t="s">
        <v>162</v>
      </c>
      <c r="C433" s="6">
        <v>25620</v>
      </c>
      <c r="D433" s="6" t="s">
        <v>507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/>
      <c r="Q433" s="6">
        <v>0</v>
      </c>
      <c r="R433" s="6">
        <v>0</v>
      </c>
      <c r="S433" s="6">
        <v>0</v>
      </c>
      <c r="T433" s="9">
        <f t="shared" si="21"/>
        <v>0</v>
      </c>
    </row>
    <row r="434" spans="1:20" x14ac:dyDescent="0.25">
      <c r="A434" s="6" t="str">
        <f t="shared" si="23"/>
        <v>00216275</v>
      </c>
      <c r="B434" s="6" t="s">
        <v>162</v>
      </c>
      <c r="C434" s="6">
        <v>25630</v>
      </c>
      <c r="D434" s="6" t="s">
        <v>508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/>
      <c r="Q434" s="6">
        <v>0</v>
      </c>
      <c r="R434" s="6">
        <v>0</v>
      </c>
      <c r="S434" s="6">
        <v>0</v>
      </c>
      <c r="T434" s="9">
        <f t="shared" si="21"/>
        <v>0</v>
      </c>
    </row>
    <row r="435" spans="1:20" x14ac:dyDescent="0.25">
      <c r="A435" s="6" t="str">
        <f t="shared" si="23"/>
        <v>00216275</v>
      </c>
      <c r="B435" s="6" t="s">
        <v>162</v>
      </c>
      <c r="C435" s="6">
        <v>25640</v>
      </c>
      <c r="D435" s="6" t="s">
        <v>509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/>
      <c r="Q435" s="6">
        <v>0</v>
      </c>
      <c r="R435" s="6">
        <v>0</v>
      </c>
      <c r="S435" s="6">
        <v>0</v>
      </c>
      <c r="T435" s="9">
        <f t="shared" si="21"/>
        <v>0</v>
      </c>
    </row>
    <row r="436" spans="1:20" x14ac:dyDescent="0.25">
      <c r="A436" s="6" t="str">
        <f t="shared" si="23"/>
        <v>00216275</v>
      </c>
      <c r="B436" s="6" t="s">
        <v>162</v>
      </c>
      <c r="C436" s="6">
        <v>25650</v>
      </c>
      <c r="D436" s="6" t="s">
        <v>510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/>
      <c r="Q436" s="6">
        <v>0</v>
      </c>
      <c r="R436" s="6">
        <v>0</v>
      </c>
      <c r="S436" s="6">
        <v>0</v>
      </c>
      <c r="T436" s="9">
        <f t="shared" si="21"/>
        <v>0</v>
      </c>
    </row>
    <row r="437" spans="1:20" x14ac:dyDescent="0.25">
      <c r="A437" s="6" t="str">
        <f t="shared" si="23"/>
        <v>00216275</v>
      </c>
      <c r="B437" s="6" t="s">
        <v>162</v>
      </c>
      <c r="C437" s="6">
        <v>25660</v>
      </c>
      <c r="D437" s="6" t="s">
        <v>511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/>
      <c r="Q437" s="6">
        <v>0</v>
      </c>
      <c r="R437" s="6">
        <v>0</v>
      </c>
      <c r="S437" s="6">
        <v>0</v>
      </c>
      <c r="T437" s="9">
        <f t="shared" si="21"/>
        <v>0</v>
      </c>
    </row>
    <row r="438" spans="1:20" x14ac:dyDescent="0.25">
      <c r="A438" s="6" t="str">
        <f t="shared" si="23"/>
        <v>00216275</v>
      </c>
      <c r="B438" s="6" t="s">
        <v>162</v>
      </c>
      <c r="C438" s="6">
        <v>25670</v>
      </c>
      <c r="D438" s="6" t="s">
        <v>512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/>
      <c r="Q438" s="6">
        <v>0</v>
      </c>
      <c r="R438" s="6">
        <v>0</v>
      </c>
      <c r="S438" s="6">
        <v>0</v>
      </c>
      <c r="T438" s="9">
        <f t="shared" si="21"/>
        <v>0</v>
      </c>
    </row>
    <row r="439" spans="1:20" x14ac:dyDescent="0.25">
      <c r="A439" s="6" t="str">
        <f t="shared" si="23"/>
        <v>00216275</v>
      </c>
      <c r="B439" s="6" t="s">
        <v>162</v>
      </c>
      <c r="C439" s="6">
        <v>25680</v>
      </c>
      <c r="D439" s="6" t="s">
        <v>513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/>
      <c r="Q439" s="6">
        <v>0</v>
      </c>
      <c r="R439" s="6">
        <v>0</v>
      </c>
      <c r="S439" s="6">
        <v>0</v>
      </c>
      <c r="T439" s="9">
        <f t="shared" si="21"/>
        <v>0</v>
      </c>
    </row>
    <row r="440" spans="1:20" x14ac:dyDescent="0.25">
      <c r="A440" s="6" t="str">
        <f t="shared" si="23"/>
        <v>00216275</v>
      </c>
      <c r="B440" s="6" t="s">
        <v>162</v>
      </c>
      <c r="C440" s="6">
        <v>25690</v>
      </c>
      <c r="D440" s="6" t="s">
        <v>514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/>
      <c r="Q440" s="6">
        <v>0</v>
      </c>
      <c r="R440" s="6">
        <v>0</v>
      </c>
      <c r="S440" s="6">
        <v>0</v>
      </c>
      <c r="T440" s="9">
        <f t="shared" si="21"/>
        <v>0</v>
      </c>
    </row>
    <row r="441" spans="1:20" x14ac:dyDescent="0.25">
      <c r="A441" s="6" t="str">
        <f t="shared" si="23"/>
        <v>00216275</v>
      </c>
      <c r="B441" s="6" t="s">
        <v>162</v>
      </c>
      <c r="C441" s="6">
        <v>25700</v>
      </c>
      <c r="D441" s="6" t="s">
        <v>515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/>
      <c r="Q441" s="6">
        <v>0</v>
      </c>
      <c r="R441" s="6">
        <v>0</v>
      </c>
      <c r="S441" s="6">
        <v>0</v>
      </c>
      <c r="T441" s="9">
        <f t="shared" si="21"/>
        <v>0</v>
      </c>
    </row>
    <row r="442" spans="1:20" x14ac:dyDescent="0.25">
      <c r="A442" s="6" t="str">
        <f t="shared" si="23"/>
        <v>00216275</v>
      </c>
      <c r="B442" s="6" t="s">
        <v>162</v>
      </c>
      <c r="C442" s="6">
        <v>25710</v>
      </c>
      <c r="D442" s="6" t="s">
        <v>516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/>
      <c r="Q442" s="6">
        <v>0</v>
      </c>
      <c r="R442" s="6">
        <v>0</v>
      </c>
      <c r="S442" s="6">
        <v>0</v>
      </c>
      <c r="T442" s="9">
        <f t="shared" si="21"/>
        <v>0</v>
      </c>
    </row>
    <row r="443" spans="1:20" x14ac:dyDescent="0.25">
      <c r="A443" s="6" t="str">
        <f t="shared" si="23"/>
        <v>00216275</v>
      </c>
      <c r="B443" s="6" t="s">
        <v>162</v>
      </c>
      <c r="C443" s="6">
        <v>25720</v>
      </c>
      <c r="D443" s="6" t="s">
        <v>442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/>
      <c r="Q443" s="6">
        <v>0</v>
      </c>
      <c r="R443" s="6">
        <v>0</v>
      </c>
      <c r="S443" s="6">
        <v>0</v>
      </c>
      <c r="T443" s="9">
        <f t="shared" si="21"/>
        <v>0</v>
      </c>
    </row>
    <row r="444" spans="1:20" x14ac:dyDescent="0.25">
      <c r="A444" s="6" t="str">
        <f t="shared" si="23"/>
        <v>00216275</v>
      </c>
      <c r="B444" s="6" t="s">
        <v>162</v>
      </c>
      <c r="C444" s="6">
        <v>25730</v>
      </c>
      <c r="D444" s="6" t="s">
        <v>517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/>
      <c r="Q444" s="6">
        <v>0</v>
      </c>
      <c r="R444" s="6">
        <v>0</v>
      </c>
      <c r="S444" s="6">
        <v>0</v>
      </c>
      <c r="T444" s="9">
        <f t="shared" si="21"/>
        <v>0</v>
      </c>
    </row>
    <row r="445" spans="1:20" x14ac:dyDescent="0.25">
      <c r="A445" s="6" t="str">
        <f t="shared" si="23"/>
        <v>00216275</v>
      </c>
      <c r="B445" s="6" t="s">
        <v>162</v>
      </c>
      <c r="C445" s="6">
        <v>25740</v>
      </c>
      <c r="D445" s="6" t="s">
        <v>518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/>
      <c r="Q445" s="6">
        <v>0</v>
      </c>
      <c r="R445" s="6">
        <v>0</v>
      </c>
      <c r="S445" s="6">
        <v>0</v>
      </c>
      <c r="T445" s="9">
        <f t="shared" si="21"/>
        <v>0</v>
      </c>
    </row>
    <row r="446" spans="1:20" x14ac:dyDescent="0.25">
      <c r="A446" s="6" t="str">
        <f t="shared" si="23"/>
        <v>00216275</v>
      </c>
      <c r="B446" s="6" t="s">
        <v>162</v>
      </c>
      <c r="C446" s="6">
        <v>25750</v>
      </c>
      <c r="D446" s="6" t="s">
        <v>319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/>
      <c r="Q446" s="6">
        <v>0</v>
      </c>
      <c r="R446" s="6">
        <v>0</v>
      </c>
      <c r="S446" s="6">
        <v>0</v>
      </c>
      <c r="T446" s="9">
        <f t="shared" si="21"/>
        <v>0</v>
      </c>
    </row>
    <row r="447" spans="1:20" x14ac:dyDescent="0.25">
      <c r="A447" s="6" t="str">
        <f t="shared" si="23"/>
        <v>00216275</v>
      </c>
      <c r="B447" s="6" t="s">
        <v>162</v>
      </c>
      <c r="C447" s="6">
        <v>25810</v>
      </c>
      <c r="D447" s="6" t="s">
        <v>258</v>
      </c>
      <c r="E447" s="6">
        <v>3</v>
      </c>
      <c r="F447" s="6">
        <v>8.1530001163483004</v>
      </c>
      <c r="G447" s="6">
        <v>1.4779999852179999</v>
      </c>
      <c r="H447" s="6">
        <v>0</v>
      </c>
      <c r="I447" s="6">
        <v>0</v>
      </c>
      <c r="J447" s="6">
        <v>0</v>
      </c>
      <c r="K447" s="6">
        <v>16.2377</v>
      </c>
      <c r="L447" s="6">
        <v>0</v>
      </c>
      <c r="M447" s="6">
        <v>7.6999999999999999E-2</v>
      </c>
      <c r="N447" s="6">
        <v>6.93E-2</v>
      </c>
      <c r="O447" s="6">
        <v>0</v>
      </c>
      <c r="P447" s="6"/>
      <c r="Q447" s="6">
        <v>0</v>
      </c>
      <c r="R447" s="6">
        <v>0</v>
      </c>
      <c r="S447" s="6">
        <v>0</v>
      </c>
      <c r="T447" s="9">
        <f t="shared" si="21"/>
        <v>1.5472999852179998</v>
      </c>
    </row>
    <row r="448" spans="1:20" x14ac:dyDescent="0.25">
      <c r="A448" s="6" t="str">
        <f t="shared" si="23"/>
        <v>00216275</v>
      </c>
      <c r="B448" s="6" t="s">
        <v>162</v>
      </c>
      <c r="C448" s="6">
        <v>25830</v>
      </c>
      <c r="D448" s="6" t="s">
        <v>519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/>
      <c r="Q448" s="6">
        <v>0</v>
      </c>
      <c r="R448" s="6">
        <v>0</v>
      </c>
      <c r="S448" s="6">
        <v>0</v>
      </c>
      <c r="T448" s="9">
        <f t="shared" si="21"/>
        <v>0</v>
      </c>
    </row>
    <row r="449" spans="1:20" x14ac:dyDescent="0.25">
      <c r="A449" s="6" t="str">
        <f t="shared" si="23"/>
        <v>00216275</v>
      </c>
      <c r="B449" s="6" t="s">
        <v>162</v>
      </c>
      <c r="C449" s="6">
        <v>25840</v>
      </c>
      <c r="D449" s="6" t="s">
        <v>520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/>
      <c r="Q449" s="6">
        <v>0</v>
      </c>
      <c r="R449" s="6">
        <v>0</v>
      </c>
      <c r="S449" s="6">
        <v>0</v>
      </c>
      <c r="T449" s="9">
        <f t="shared" si="21"/>
        <v>0</v>
      </c>
    </row>
    <row r="450" spans="1:20" x14ac:dyDescent="0.25">
      <c r="A450" s="6" t="str">
        <f t="shared" si="23"/>
        <v>00216275</v>
      </c>
      <c r="B450" s="6" t="s">
        <v>162</v>
      </c>
      <c r="C450" s="6">
        <v>25850</v>
      </c>
      <c r="D450" s="6" t="s">
        <v>521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/>
      <c r="Q450" s="6">
        <v>0</v>
      </c>
      <c r="R450" s="6">
        <v>0</v>
      </c>
      <c r="S450" s="6">
        <v>0</v>
      </c>
      <c r="T450" s="9">
        <f t="shared" si="21"/>
        <v>0</v>
      </c>
    </row>
    <row r="451" spans="1:20" x14ac:dyDescent="0.25">
      <c r="A451" s="6" t="str">
        <f t="shared" si="23"/>
        <v>00216275</v>
      </c>
      <c r="B451" s="6" t="s">
        <v>162</v>
      </c>
      <c r="C451" s="6" t="s">
        <v>522</v>
      </c>
      <c r="D451" s="6" t="s">
        <v>257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/>
      <c r="Q451" s="6">
        <v>0</v>
      </c>
      <c r="R451" s="6">
        <v>0</v>
      </c>
      <c r="S451" s="6">
        <v>0</v>
      </c>
      <c r="T451" s="9">
        <f t="shared" si="21"/>
        <v>0</v>
      </c>
    </row>
    <row r="452" spans="1:20" x14ac:dyDescent="0.25">
      <c r="A452" s="6" t="str">
        <f t="shared" ref="A452:A462" si="24">"70883521"</f>
        <v>70883521</v>
      </c>
      <c r="B452" s="6" t="s">
        <v>163</v>
      </c>
      <c r="C452" s="6"/>
      <c r="D452" s="6" t="s">
        <v>246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/>
      <c r="Q452" s="6">
        <v>0</v>
      </c>
      <c r="R452" s="6">
        <v>0</v>
      </c>
      <c r="S452" s="6">
        <v>0</v>
      </c>
      <c r="T452" s="9">
        <f t="shared" si="21"/>
        <v>0</v>
      </c>
    </row>
    <row r="453" spans="1:20" x14ac:dyDescent="0.25">
      <c r="A453" s="6" t="str">
        <f t="shared" si="24"/>
        <v>70883521</v>
      </c>
      <c r="B453" s="6" t="s">
        <v>163</v>
      </c>
      <c r="C453" s="6"/>
      <c r="D453" s="6"/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/>
      <c r="Q453" s="6">
        <v>0</v>
      </c>
      <c r="R453" s="6">
        <v>0</v>
      </c>
      <c r="S453" s="6">
        <v>0</v>
      </c>
      <c r="T453" s="9">
        <f t="shared" ref="T453:T516" si="25">G453+J453+N453+R453+S453</f>
        <v>0</v>
      </c>
    </row>
    <row r="454" spans="1:20" x14ac:dyDescent="0.25">
      <c r="A454" s="6" t="str">
        <f t="shared" si="24"/>
        <v>70883521</v>
      </c>
      <c r="B454" s="6" t="s">
        <v>163</v>
      </c>
      <c r="C454" s="6">
        <v>28110</v>
      </c>
      <c r="D454" s="6" t="s">
        <v>523</v>
      </c>
      <c r="E454" s="6">
        <v>689</v>
      </c>
      <c r="F454" s="6">
        <v>9564.6407717417005</v>
      </c>
      <c r="G454" s="6">
        <v>10789.218847987</v>
      </c>
      <c r="H454" s="6">
        <v>0</v>
      </c>
      <c r="I454" s="6">
        <v>0</v>
      </c>
      <c r="J454" s="6">
        <v>0</v>
      </c>
      <c r="K454" s="6">
        <v>6.2166699999999997</v>
      </c>
      <c r="L454" s="6">
        <v>0</v>
      </c>
      <c r="M454" s="6">
        <v>1838.09</v>
      </c>
      <c r="N454" s="6">
        <v>1654.28</v>
      </c>
      <c r="O454" s="6">
        <v>10</v>
      </c>
      <c r="P454" s="6">
        <v>10</v>
      </c>
      <c r="Q454" s="6">
        <v>135.40586677350001</v>
      </c>
      <c r="R454" s="6">
        <v>145.40586677350001</v>
      </c>
      <c r="S454" s="6">
        <v>1021.18</v>
      </c>
      <c r="T454" s="9">
        <f t="shared" si="25"/>
        <v>13610.084714760502</v>
      </c>
    </row>
    <row r="455" spans="1:20" x14ac:dyDescent="0.25">
      <c r="A455" s="6" t="str">
        <f t="shared" si="24"/>
        <v>70883521</v>
      </c>
      <c r="B455" s="6" t="s">
        <v>163</v>
      </c>
      <c r="C455" s="6">
        <v>28120</v>
      </c>
      <c r="D455" s="6" t="s">
        <v>524</v>
      </c>
      <c r="E455" s="6">
        <v>585</v>
      </c>
      <c r="F455" s="6">
        <v>6392.0482479414004</v>
      </c>
      <c r="G455" s="6">
        <v>5393.4780767241</v>
      </c>
      <c r="H455" s="6">
        <v>0</v>
      </c>
      <c r="I455" s="6">
        <v>0</v>
      </c>
      <c r="J455" s="6">
        <v>0</v>
      </c>
      <c r="K455" s="6">
        <v>6.2166699999999997</v>
      </c>
      <c r="L455" s="6">
        <v>0</v>
      </c>
      <c r="M455" s="6">
        <v>524.49400000000003</v>
      </c>
      <c r="N455" s="6">
        <v>472.04500000000002</v>
      </c>
      <c r="O455" s="6">
        <v>0</v>
      </c>
      <c r="P455" s="6">
        <v>0</v>
      </c>
      <c r="Q455" s="6">
        <v>41.106448000999997</v>
      </c>
      <c r="R455" s="6">
        <v>41.106448000999997</v>
      </c>
      <c r="S455" s="6">
        <v>306.84100000000001</v>
      </c>
      <c r="T455" s="9">
        <f t="shared" si="25"/>
        <v>6213.4705247251004</v>
      </c>
    </row>
    <row r="456" spans="1:20" x14ac:dyDescent="0.25">
      <c r="A456" s="6" t="str">
        <f t="shared" si="24"/>
        <v>70883521</v>
      </c>
      <c r="B456" s="6" t="s">
        <v>163</v>
      </c>
      <c r="C456" s="6">
        <v>28130</v>
      </c>
      <c r="D456" s="6" t="s">
        <v>525</v>
      </c>
      <c r="E456" s="6">
        <v>60</v>
      </c>
      <c r="F456" s="6">
        <v>1182.8052302839999</v>
      </c>
      <c r="G456" s="6">
        <v>1052.0110304282</v>
      </c>
      <c r="H456" s="6">
        <v>0</v>
      </c>
      <c r="I456" s="6">
        <v>0</v>
      </c>
      <c r="J456" s="6">
        <v>0</v>
      </c>
      <c r="K456" s="6">
        <v>6.2166699999999997</v>
      </c>
      <c r="L456" s="6">
        <v>0</v>
      </c>
      <c r="M456" s="6">
        <v>147.47200000000001</v>
      </c>
      <c r="N456" s="6">
        <v>132.72499999999999</v>
      </c>
      <c r="O456" s="6">
        <v>0</v>
      </c>
      <c r="P456" s="6"/>
      <c r="Q456" s="6">
        <v>0</v>
      </c>
      <c r="R456" s="6">
        <v>0</v>
      </c>
      <c r="S456" s="6">
        <v>523.05399999999997</v>
      </c>
      <c r="T456" s="9">
        <f t="shared" si="25"/>
        <v>1707.7900304281998</v>
      </c>
    </row>
    <row r="457" spans="1:20" x14ac:dyDescent="0.25">
      <c r="A457" s="6" t="str">
        <f t="shared" si="24"/>
        <v>70883521</v>
      </c>
      <c r="B457" s="6" t="s">
        <v>163</v>
      </c>
      <c r="C457" s="6">
        <v>28140</v>
      </c>
      <c r="D457" s="6" t="s">
        <v>526</v>
      </c>
      <c r="E457" s="6">
        <v>820</v>
      </c>
      <c r="F457" s="6">
        <v>9286.7857320515996</v>
      </c>
      <c r="G457" s="6">
        <v>7864.2596687168998</v>
      </c>
      <c r="H457" s="6">
        <v>0</v>
      </c>
      <c r="I457" s="6">
        <v>0</v>
      </c>
      <c r="J457" s="6">
        <v>0</v>
      </c>
      <c r="K457" s="6">
        <v>6.2166699999999997</v>
      </c>
      <c r="L457" s="6">
        <v>0</v>
      </c>
      <c r="M457" s="6">
        <v>1180.24</v>
      </c>
      <c r="N457" s="6">
        <v>1062.22</v>
      </c>
      <c r="O457" s="6">
        <v>30</v>
      </c>
      <c r="P457" s="6">
        <v>30</v>
      </c>
      <c r="Q457" s="6">
        <v>84.994227807000001</v>
      </c>
      <c r="R457" s="6">
        <v>114.994227807</v>
      </c>
      <c r="S457" s="6">
        <v>3496.93</v>
      </c>
      <c r="T457" s="9">
        <f t="shared" si="25"/>
        <v>12538.4038965239</v>
      </c>
    </row>
    <row r="458" spans="1:20" x14ac:dyDescent="0.25">
      <c r="A458" s="6" t="str">
        <f t="shared" si="24"/>
        <v>70883521</v>
      </c>
      <c r="B458" s="6" t="s">
        <v>163</v>
      </c>
      <c r="C458" s="6">
        <v>28150</v>
      </c>
      <c r="D458" s="6" t="s">
        <v>470</v>
      </c>
      <c r="E458" s="6">
        <v>228</v>
      </c>
      <c r="F458" s="6">
        <v>2394.4445260478001</v>
      </c>
      <c r="G458" s="6">
        <v>2193.7932778652998</v>
      </c>
      <c r="H458" s="6">
        <v>0</v>
      </c>
      <c r="I458" s="6">
        <v>0</v>
      </c>
      <c r="J458" s="6">
        <v>0</v>
      </c>
      <c r="K458" s="6">
        <v>6.2166699999999997</v>
      </c>
      <c r="L458" s="6">
        <v>0</v>
      </c>
      <c r="M458" s="6">
        <v>164.209</v>
      </c>
      <c r="N458" s="6">
        <v>147.78800000000001</v>
      </c>
      <c r="O458" s="6">
        <v>0</v>
      </c>
      <c r="P458" s="6"/>
      <c r="Q458" s="6">
        <v>0</v>
      </c>
      <c r="R458" s="6">
        <v>0</v>
      </c>
      <c r="S458" s="6">
        <v>0</v>
      </c>
      <c r="T458" s="9">
        <f t="shared" si="25"/>
        <v>2341.5812778652999</v>
      </c>
    </row>
    <row r="459" spans="1:20" x14ac:dyDescent="0.25">
      <c r="A459" s="6" t="str">
        <f t="shared" si="24"/>
        <v>70883521</v>
      </c>
      <c r="B459" s="6" t="s">
        <v>163</v>
      </c>
      <c r="C459" s="6">
        <v>28160</v>
      </c>
      <c r="D459" s="6" t="s">
        <v>527</v>
      </c>
      <c r="E459" s="6">
        <v>42</v>
      </c>
      <c r="F459" s="6">
        <v>520.27362835451004</v>
      </c>
      <c r="G459" s="6">
        <v>435.36629499699001</v>
      </c>
      <c r="H459" s="6">
        <v>0</v>
      </c>
      <c r="I459" s="6">
        <v>0</v>
      </c>
      <c r="J459" s="6">
        <v>0</v>
      </c>
      <c r="K459" s="6">
        <v>6.2166699999999997</v>
      </c>
      <c r="L459" s="6">
        <v>0</v>
      </c>
      <c r="M459" s="6">
        <v>37.963000000000001</v>
      </c>
      <c r="N459" s="6">
        <v>34.166699999999999</v>
      </c>
      <c r="O459" s="6">
        <v>0</v>
      </c>
      <c r="P459" s="6"/>
      <c r="Q459" s="6">
        <v>0</v>
      </c>
      <c r="R459" s="6">
        <v>0</v>
      </c>
      <c r="S459" s="6">
        <v>0</v>
      </c>
      <c r="T459" s="9">
        <f t="shared" si="25"/>
        <v>469.53299499699</v>
      </c>
    </row>
    <row r="460" spans="1:20" x14ac:dyDescent="0.25">
      <c r="A460" s="6" t="str">
        <f t="shared" si="24"/>
        <v>70883521</v>
      </c>
      <c r="B460" s="6" t="s">
        <v>163</v>
      </c>
      <c r="C460" s="6">
        <v>28610</v>
      </c>
      <c r="D460" s="6" t="s">
        <v>528</v>
      </c>
      <c r="E460" s="6">
        <v>389</v>
      </c>
      <c r="F460" s="6">
        <v>6133.1209991947999</v>
      </c>
      <c r="G460" s="6">
        <v>6567.4051740733003</v>
      </c>
      <c r="H460" s="6">
        <v>0</v>
      </c>
      <c r="I460" s="6">
        <v>0</v>
      </c>
      <c r="J460" s="6">
        <v>0</v>
      </c>
      <c r="K460" s="6">
        <v>6.2166699999999997</v>
      </c>
      <c r="L460" s="6">
        <v>0</v>
      </c>
      <c r="M460" s="6">
        <v>280.73500000000001</v>
      </c>
      <c r="N460" s="6">
        <v>252.661</v>
      </c>
      <c r="O460" s="6">
        <v>110</v>
      </c>
      <c r="P460" s="6">
        <v>97.5</v>
      </c>
      <c r="Q460" s="6">
        <v>292.67381957330002</v>
      </c>
      <c r="R460" s="6">
        <v>390.17381957330002</v>
      </c>
      <c r="S460" s="6">
        <v>881.90300000000002</v>
      </c>
      <c r="T460" s="9">
        <f t="shared" si="25"/>
        <v>8092.1429936466002</v>
      </c>
    </row>
    <row r="461" spans="1:20" x14ac:dyDescent="0.25">
      <c r="A461" s="6" t="str">
        <f t="shared" si="24"/>
        <v>70883521</v>
      </c>
      <c r="B461" s="6" t="s">
        <v>163</v>
      </c>
      <c r="C461" s="6">
        <v>28700</v>
      </c>
      <c r="D461" s="6" t="s">
        <v>529</v>
      </c>
      <c r="E461" s="6">
        <v>3</v>
      </c>
      <c r="F461" s="6">
        <v>45.312998294830003</v>
      </c>
      <c r="G461" s="6">
        <v>32.784000635147002</v>
      </c>
      <c r="H461" s="6">
        <v>0</v>
      </c>
      <c r="I461" s="6">
        <v>0</v>
      </c>
      <c r="J461" s="6">
        <v>0</v>
      </c>
      <c r="K461" s="6">
        <v>6.2166699999999997</v>
      </c>
      <c r="L461" s="6">
        <v>0</v>
      </c>
      <c r="M461" s="6">
        <v>8.5999999999999993E-2</v>
      </c>
      <c r="N461" s="6">
        <v>7.7399999999999997E-2</v>
      </c>
      <c r="O461" s="6">
        <v>0</v>
      </c>
      <c r="P461" s="6"/>
      <c r="Q461" s="6">
        <v>0</v>
      </c>
      <c r="R461" s="6">
        <v>0</v>
      </c>
      <c r="S461" s="6">
        <v>0</v>
      </c>
      <c r="T461" s="9">
        <f t="shared" si="25"/>
        <v>32.861400635147</v>
      </c>
    </row>
    <row r="462" spans="1:20" x14ac:dyDescent="0.25">
      <c r="A462" s="6" t="str">
        <f t="shared" si="24"/>
        <v>70883521</v>
      </c>
      <c r="B462" s="6" t="s">
        <v>163</v>
      </c>
      <c r="C462" s="6">
        <v>28810</v>
      </c>
      <c r="D462" s="6" t="s">
        <v>258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/>
      <c r="Q462" s="6">
        <v>0</v>
      </c>
      <c r="R462" s="6">
        <v>0</v>
      </c>
      <c r="S462" s="6">
        <v>0</v>
      </c>
      <c r="T462" s="9">
        <f t="shared" si="25"/>
        <v>0</v>
      </c>
    </row>
    <row r="463" spans="1:20" x14ac:dyDescent="0.25">
      <c r="A463" s="6" t="str">
        <f>"75112779"</f>
        <v>75112779</v>
      </c>
      <c r="B463" s="6" t="s">
        <v>164</v>
      </c>
      <c r="C463" s="6"/>
      <c r="D463" s="6"/>
      <c r="E463" s="6">
        <v>82</v>
      </c>
      <c r="F463" s="6">
        <v>606.59436893856002</v>
      </c>
      <c r="G463" s="6">
        <v>427.27075476228998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/>
      <c r="Q463" s="6">
        <v>0</v>
      </c>
      <c r="R463" s="6">
        <v>0</v>
      </c>
      <c r="S463" s="6">
        <v>0</v>
      </c>
      <c r="T463" s="9">
        <f t="shared" si="25"/>
        <v>427.27075476228998</v>
      </c>
    </row>
    <row r="464" spans="1:20" x14ac:dyDescent="0.25">
      <c r="A464" s="6" t="str">
        <f>"68081715"</f>
        <v>68081715</v>
      </c>
      <c r="B464" s="6" t="s">
        <v>165</v>
      </c>
      <c r="C464" s="6"/>
      <c r="D464" s="6"/>
      <c r="E464" s="6">
        <v>203</v>
      </c>
      <c r="F464" s="6">
        <v>10245.369625027</v>
      </c>
      <c r="G464" s="6">
        <v>12501.018085049</v>
      </c>
      <c r="H464" s="6">
        <v>0</v>
      </c>
      <c r="I464" s="6">
        <v>0</v>
      </c>
      <c r="J464" s="6">
        <v>0</v>
      </c>
      <c r="K464" s="6">
        <v>4</v>
      </c>
      <c r="L464" s="6">
        <v>0</v>
      </c>
      <c r="M464" s="6">
        <v>1320.83</v>
      </c>
      <c r="N464" s="6">
        <v>1188.75</v>
      </c>
      <c r="O464" s="6">
        <v>100</v>
      </c>
      <c r="P464" s="6">
        <v>50</v>
      </c>
      <c r="Q464" s="6">
        <v>122.5626581444</v>
      </c>
      <c r="R464" s="6">
        <v>172.56265814439999</v>
      </c>
      <c r="S464" s="6">
        <v>384.96899999999999</v>
      </c>
      <c r="T464" s="9">
        <f t="shared" si="25"/>
        <v>14247.299743193398</v>
      </c>
    </row>
    <row r="465" spans="1:20" x14ac:dyDescent="0.25">
      <c r="A465" s="6" t="str">
        <f>"61388980"</f>
        <v>61388980</v>
      </c>
      <c r="B465" s="6" t="s">
        <v>166</v>
      </c>
      <c r="C465" s="6"/>
      <c r="D465" s="6"/>
      <c r="E465" s="6">
        <v>409</v>
      </c>
      <c r="F465" s="6">
        <v>8793.4383859542995</v>
      </c>
      <c r="G465" s="6">
        <v>10823.347609564</v>
      </c>
      <c r="H465" s="6">
        <v>0</v>
      </c>
      <c r="I465" s="6">
        <v>0</v>
      </c>
      <c r="J465" s="6">
        <v>0</v>
      </c>
      <c r="K465" s="6">
        <v>3.6282100000000002</v>
      </c>
      <c r="L465" s="6">
        <v>0</v>
      </c>
      <c r="M465" s="6">
        <v>1675.3</v>
      </c>
      <c r="N465" s="6">
        <v>1507.77</v>
      </c>
      <c r="O465" s="6">
        <v>10</v>
      </c>
      <c r="P465" s="6">
        <v>5</v>
      </c>
      <c r="Q465" s="6">
        <v>109.0036655947</v>
      </c>
      <c r="R465" s="6">
        <v>114.0036655947</v>
      </c>
      <c r="S465" s="6">
        <v>817.93299999999999</v>
      </c>
      <c r="T465" s="9">
        <f t="shared" si="25"/>
        <v>13263.054275158702</v>
      </c>
    </row>
    <row r="466" spans="1:20" x14ac:dyDescent="0.25">
      <c r="A466" s="6" t="str">
        <f>"48511005"</f>
        <v>48511005</v>
      </c>
      <c r="B466" s="6" t="s">
        <v>167</v>
      </c>
      <c r="C466" s="6"/>
      <c r="D466" s="6"/>
      <c r="E466" s="6">
        <v>44</v>
      </c>
      <c r="F466" s="6">
        <v>366.74616758654997</v>
      </c>
      <c r="G466" s="6">
        <v>315.49863619204001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/>
      <c r="Q466" s="6">
        <v>0</v>
      </c>
      <c r="R466" s="6">
        <v>0</v>
      </c>
      <c r="S466" s="6">
        <v>0</v>
      </c>
      <c r="T466" s="9">
        <f t="shared" si="25"/>
        <v>315.49863619204001</v>
      </c>
    </row>
    <row r="467" spans="1:20" x14ac:dyDescent="0.25">
      <c r="A467" s="6" t="str">
        <f>"47325011"</f>
        <v>47325011</v>
      </c>
      <c r="B467" s="6" t="s">
        <v>168</v>
      </c>
      <c r="C467" s="6"/>
      <c r="D467" s="6"/>
      <c r="E467" s="6">
        <v>22</v>
      </c>
      <c r="F467" s="6">
        <v>182.19908858669999</v>
      </c>
      <c r="G467" s="6">
        <v>161.67698221165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/>
      <c r="Q467" s="6">
        <v>0</v>
      </c>
      <c r="R467" s="6">
        <v>0</v>
      </c>
      <c r="S467" s="6">
        <v>0</v>
      </c>
      <c r="T467" s="9">
        <f t="shared" si="25"/>
        <v>161.67698221165</v>
      </c>
    </row>
    <row r="468" spans="1:20" x14ac:dyDescent="0.25">
      <c r="A468" s="6" t="str">
        <f>"68081766"</f>
        <v>68081766</v>
      </c>
      <c r="B468" s="6" t="s">
        <v>169</v>
      </c>
      <c r="C468" s="6"/>
      <c r="D468" s="6"/>
      <c r="E468" s="6">
        <v>505</v>
      </c>
      <c r="F468" s="6">
        <v>9931.9570614462991</v>
      </c>
      <c r="G468" s="6">
        <v>10240.448428284</v>
      </c>
      <c r="H468" s="6">
        <v>0</v>
      </c>
      <c r="I468" s="6">
        <v>0</v>
      </c>
      <c r="J468" s="6">
        <v>0</v>
      </c>
      <c r="K468" s="6">
        <v>2.7480500000000001</v>
      </c>
      <c r="L468" s="6">
        <v>0</v>
      </c>
      <c r="M468" s="6">
        <v>1160.69</v>
      </c>
      <c r="N468" s="6">
        <v>1044.6199999999999</v>
      </c>
      <c r="O468" s="6">
        <v>0</v>
      </c>
      <c r="P468" s="6">
        <v>0</v>
      </c>
      <c r="Q468" s="6">
        <v>58.101203368599997</v>
      </c>
      <c r="R468" s="6">
        <v>58.101203368599997</v>
      </c>
      <c r="S468" s="6">
        <v>68.964299999999994</v>
      </c>
      <c r="T468" s="9">
        <f t="shared" si="25"/>
        <v>11412.133931652601</v>
      </c>
    </row>
    <row r="469" spans="1:20" x14ac:dyDescent="0.25">
      <c r="A469" s="6" t="str">
        <f>"68378033"</f>
        <v>68378033</v>
      </c>
      <c r="B469" s="6" t="s">
        <v>170</v>
      </c>
      <c r="C469" s="6"/>
      <c r="D469" s="6"/>
      <c r="E469" s="6">
        <v>619</v>
      </c>
      <c r="F469" s="6">
        <v>3497.2184084819</v>
      </c>
      <c r="G469" s="6">
        <v>3357.3591425482</v>
      </c>
      <c r="H469" s="6">
        <v>0</v>
      </c>
      <c r="I469" s="6">
        <v>0</v>
      </c>
      <c r="J469" s="6">
        <v>0</v>
      </c>
      <c r="K469" s="6">
        <v>2.2571400000000001</v>
      </c>
      <c r="L469" s="6">
        <v>0</v>
      </c>
      <c r="M469" s="6">
        <v>508.65300000000002</v>
      </c>
      <c r="N469" s="6">
        <v>457.78800000000001</v>
      </c>
      <c r="O469" s="6">
        <v>0</v>
      </c>
      <c r="P469" s="6">
        <v>0</v>
      </c>
      <c r="Q469" s="6">
        <v>32.9669622774</v>
      </c>
      <c r="R469" s="6">
        <v>32.9669622774</v>
      </c>
      <c r="S469" s="6">
        <v>123.747</v>
      </c>
      <c r="T469" s="9">
        <f t="shared" si="25"/>
        <v>3971.8611048255998</v>
      </c>
    </row>
    <row r="470" spans="1:20" x14ac:dyDescent="0.25">
      <c r="A470" s="6" t="str">
        <f>"61389030"</f>
        <v>61389030</v>
      </c>
      <c r="B470" s="6" t="s">
        <v>171</v>
      </c>
      <c r="C470" s="6"/>
      <c r="D470" s="6"/>
      <c r="E470" s="6">
        <v>582</v>
      </c>
      <c r="F470" s="6">
        <v>17153.123569194999</v>
      </c>
      <c r="G470" s="6">
        <v>17841.720391170002</v>
      </c>
      <c r="H470" s="6">
        <v>0</v>
      </c>
      <c r="I470" s="6">
        <v>0</v>
      </c>
      <c r="J470" s="6">
        <v>0</v>
      </c>
      <c r="K470" s="6">
        <v>9.1940000000000008</v>
      </c>
      <c r="L470" s="6">
        <v>2</v>
      </c>
      <c r="M470" s="6">
        <v>2666.21</v>
      </c>
      <c r="N470" s="6">
        <v>2572.35</v>
      </c>
      <c r="O470" s="6">
        <v>400</v>
      </c>
      <c r="P470" s="6">
        <v>400</v>
      </c>
      <c r="Q470" s="6">
        <v>132.706338845</v>
      </c>
      <c r="R470" s="6">
        <v>532.706338845</v>
      </c>
      <c r="S470" s="6">
        <v>3009.51</v>
      </c>
      <c r="T470" s="9">
        <f t="shared" si="25"/>
        <v>23956.286730015003</v>
      </c>
    </row>
    <row r="471" spans="1:20" x14ac:dyDescent="0.25">
      <c r="A471" s="6" t="str">
        <f>"68378041"</f>
        <v>68378041</v>
      </c>
      <c r="B471" s="6" t="s">
        <v>172</v>
      </c>
      <c r="C471" s="6"/>
      <c r="D471" s="6"/>
      <c r="E471" s="6">
        <v>432</v>
      </c>
      <c r="F471" s="6">
        <v>10303.830054407999</v>
      </c>
      <c r="G471" s="6">
        <v>9926.2787959654997</v>
      </c>
      <c r="H471" s="6">
        <v>0</v>
      </c>
      <c r="I471" s="6">
        <v>0</v>
      </c>
      <c r="J471" s="6">
        <v>0</v>
      </c>
      <c r="K471" s="6">
        <v>8.8671799999999994</v>
      </c>
      <c r="L471" s="6">
        <v>1</v>
      </c>
      <c r="M471" s="6">
        <v>1532.77</v>
      </c>
      <c r="N471" s="6">
        <v>1418.63</v>
      </c>
      <c r="O471" s="6">
        <v>110</v>
      </c>
      <c r="P471" s="6">
        <v>44</v>
      </c>
      <c r="Q471" s="6">
        <v>184.65180049809999</v>
      </c>
      <c r="R471" s="6">
        <v>228.65180049809999</v>
      </c>
      <c r="S471" s="6">
        <v>959.00300000000004</v>
      </c>
      <c r="T471" s="9">
        <f t="shared" si="25"/>
        <v>12532.563596463602</v>
      </c>
    </row>
    <row r="472" spans="1:20" x14ac:dyDescent="0.25">
      <c r="A472" s="6" t="str">
        <f>"67985882"</f>
        <v>67985882</v>
      </c>
      <c r="B472" s="6" t="s">
        <v>173</v>
      </c>
      <c r="C472" s="6"/>
      <c r="D472" s="6"/>
      <c r="E472" s="6">
        <v>364</v>
      </c>
      <c r="F472" s="6">
        <v>9325.5046655294991</v>
      </c>
      <c r="G472" s="6">
        <v>9809.0788240334005</v>
      </c>
      <c r="H472" s="6">
        <v>0</v>
      </c>
      <c r="I472" s="6">
        <v>0</v>
      </c>
      <c r="J472" s="6">
        <v>0</v>
      </c>
      <c r="K472" s="6">
        <v>5.9071400000000001</v>
      </c>
      <c r="L472" s="6">
        <v>3</v>
      </c>
      <c r="M472" s="6">
        <v>1887.51</v>
      </c>
      <c r="N472" s="6">
        <v>2174.66</v>
      </c>
      <c r="O472" s="6">
        <v>0</v>
      </c>
      <c r="P472" s="6">
        <v>0</v>
      </c>
      <c r="Q472" s="6">
        <v>132.35867236940001</v>
      </c>
      <c r="R472" s="6">
        <v>132.35867236940001</v>
      </c>
      <c r="S472" s="6">
        <v>509.85899999999998</v>
      </c>
      <c r="T472" s="9">
        <f t="shared" si="25"/>
        <v>12625.956496402801</v>
      </c>
    </row>
    <row r="473" spans="1:20" x14ac:dyDescent="0.25">
      <c r="A473" s="6" t="str">
        <f>"61388955"</f>
        <v>61388955</v>
      </c>
      <c r="B473" s="6" t="s">
        <v>174</v>
      </c>
      <c r="C473" s="6"/>
      <c r="D473" s="6"/>
      <c r="E473" s="6">
        <v>981</v>
      </c>
      <c r="F473" s="6">
        <v>32151.79455898</v>
      </c>
      <c r="G473" s="6">
        <v>39510.530235929</v>
      </c>
      <c r="H473" s="6">
        <v>0</v>
      </c>
      <c r="I473" s="6">
        <v>0</v>
      </c>
      <c r="J473" s="6">
        <v>0</v>
      </c>
      <c r="K473" s="6">
        <v>5.9238099999999996</v>
      </c>
      <c r="L473" s="6">
        <v>2</v>
      </c>
      <c r="M473" s="6">
        <v>5980.24</v>
      </c>
      <c r="N473" s="6">
        <v>6284.35</v>
      </c>
      <c r="O473" s="6">
        <v>50</v>
      </c>
      <c r="P473" s="6">
        <v>33.299999237061002</v>
      </c>
      <c r="Q473" s="6">
        <v>168.37282905090001</v>
      </c>
      <c r="R473" s="6">
        <v>201.67282828789999</v>
      </c>
      <c r="S473" s="6">
        <v>526.73299999999995</v>
      </c>
      <c r="T473" s="9">
        <f t="shared" si="25"/>
        <v>46523.286064216896</v>
      </c>
    </row>
    <row r="474" spans="1:20" x14ac:dyDescent="0.25">
      <c r="A474" s="6" t="str">
        <f>"68378289"</f>
        <v>68378289</v>
      </c>
      <c r="B474" s="6" t="s">
        <v>175</v>
      </c>
      <c r="C474" s="6"/>
      <c r="D474" s="6"/>
      <c r="E474" s="6">
        <v>266</v>
      </c>
      <c r="F474" s="6">
        <v>5570.9417419005003</v>
      </c>
      <c r="G474" s="6">
        <v>6228.3799544236999</v>
      </c>
      <c r="H474" s="6">
        <v>0</v>
      </c>
      <c r="I474" s="6">
        <v>0</v>
      </c>
      <c r="J474" s="6">
        <v>0</v>
      </c>
      <c r="K474" s="6">
        <v>4.0714300000000003</v>
      </c>
      <c r="L474" s="6">
        <v>3</v>
      </c>
      <c r="M474" s="6">
        <v>1016.67</v>
      </c>
      <c r="N474" s="6">
        <v>1093.52</v>
      </c>
      <c r="O474" s="6">
        <v>0</v>
      </c>
      <c r="P474" s="6">
        <v>0</v>
      </c>
      <c r="Q474" s="6">
        <v>64.788670282200002</v>
      </c>
      <c r="R474" s="6">
        <v>64.788670282200002</v>
      </c>
      <c r="S474" s="6">
        <v>284.05799999999999</v>
      </c>
      <c r="T474" s="9">
        <f t="shared" si="25"/>
        <v>7670.7466247058992</v>
      </c>
    </row>
    <row r="475" spans="1:20" x14ac:dyDescent="0.25">
      <c r="A475" s="6" t="str">
        <f>"68081723"</f>
        <v>68081723</v>
      </c>
      <c r="B475" s="6" t="s">
        <v>176</v>
      </c>
      <c r="C475" s="6"/>
      <c r="D475" s="6"/>
      <c r="E475" s="6">
        <v>576</v>
      </c>
      <c r="F475" s="6">
        <v>12630.299657354</v>
      </c>
      <c r="G475" s="6">
        <v>14108.429129414</v>
      </c>
      <c r="H475" s="6">
        <v>0</v>
      </c>
      <c r="I475" s="6">
        <v>0</v>
      </c>
      <c r="J475" s="6">
        <v>0</v>
      </c>
      <c r="K475" s="6">
        <v>4.7805200000000001</v>
      </c>
      <c r="L475" s="6">
        <v>0</v>
      </c>
      <c r="M475" s="6">
        <v>1668.27</v>
      </c>
      <c r="N475" s="6">
        <v>1501.44</v>
      </c>
      <c r="O475" s="6">
        <v>0</v>
      </c>
      <c r="P475" s="6">
        <v>0</v>
      </c>
      <c r="Q475" s="6">
        <v>185.73570186320001</v>
      </c>
      <c r="R475" s="6">
        <v>185.73570186320001</v>
      </c>
      <c r="S475" s="6">
        <v>434.995</v>
      </c>
      <c r="T475" s="9">
        <f t="shared" si="25"/>
        <v>16230.599831277201</v>
      </c>
    </row>
    <row r="476" spans="1:20" x14ac:dyDescent="0.25">
      <c r="A476" s="6" t="str">
        <f>"61389021"</f>
        <v>61389021</v>
      </c>
      <c r="B476" s="6" t="s">
        <v>177</v>
      </c>
      <c r="C476" s="6"/>
      <c r="D476" s="6"/>
      <c r="E476" s="6">
        <v>345</v>
      </c>
      <c r="F476" s="6">
        <v>6236.8316366179997</v>
      </c>
      <c r="G476" s="6">
        <v>7970.8011217781996</v>
      </c>
      <c r="H476" s="6">
        <v>0</v>
      </c>
      <c r="I476" s="6">
        <v>0</v>
      </c>
      <c r="J476" s="6">
        <v>0</v>
      </c>
      <c r="K476" s="6">
        <v>6.0238100000000001</v>
      </c>
      <c r="L476" s="6">
        <v>1</v>
      </c>
      <c r="M476" s="6">
        <v>1117.26</v>
      </c>
      <c r="N476" s="6">
        <v>1116.03</v>
      </c>
      <c r="O476" s="6">
        <v>40</v>
      </c>
      <c r="P476" s="6">
        <v>23</v>
      </c>
      <c r="Q476" s="6">
        <v>411.41214648559998</v>
      </c>
      <c r="R476" s="6">
        <v>434.41214648559998</v>
      </c>
      <c r="S476" s="6">
        <v>681.14</v>
      </c>
      <c r="T476" s="9">
        <f t="shared" si="25"/>
        <v>10202.383268263799</v>
      </c>
    </row>
    <row r="477" spans="1:20" x14ac:dyDescent="0.25">
      <c r="A477" s="6" t="str">
        <f>"68145535"</f>
        <v>68145535</v>
      </c>
      <c r="B477" s="6" t="s">
        <v>178</v>
      </c>
      <c r="C477" s="6"/>
      <c r="D477" s="6"/>
      <c r="E477" s="6">
        <v>287</v>
      </c>
      <c r="F477" s="6">
        <v>4223.7133092793001</v>
      </c>
      <c r="G477" s="6">
        <v>3977.4862899753998</v>
      </c>
      <c r="H477" s="6">
        <v>0</v>
      </c>
      <c r="I477" s="6">
        <v>0</v>
      </c>
      <c r="J477" s="6">
        <v>0</v>
      </c>
      <c r="K477" s="6">
        <v>3.5238100000000001</v>
      </c>
      <c r="L477" s="6">
        <v>1</v>
      </c>
      <c r="M477" s="6">
        <v>517.49300000000005</v>
      </c>
      <c r="N477" s="6">
        <v>553.23299999999995</v>
      </c>
      <c r="O477" s="6">
        <v>0</v>
      </c>
      <c r="P477" s="6">
        <v>0</v>
      </c>
      <c r="Q477" s="6">
        <v>191.4824241956</v>
      </c>
      <c r="R477" s="6">
        <v>191.4824241956</v>
      </c>
      <c r="S477" s="6">
        <v>1164.47</v>
      </c>
      <c r="T477" s="9">
        <f t="shared" si="25"/>
        <v>5886.6717141710005</v>
      </c>
    </row>
    <row r="478" spans="1:20" x14ac:dyDescent="0.25">
      <c r="A478" s="6" t="str">
        <f>"00023736"</f>
        <v>00023736</v>
      </c>
      <c r="B478" s="6" t="s">
        <v>179</v>
      </c>
      <c r="C478" s="6"/>
      <c r="D478" s="6"/>
      <c r="E478" s="6">
        <v>318</v>
      </c>
      <c r="F478" s="6">
        <v>4987.5241886331996</v>
      </c>
      <c r="G478" s="6">
        <v>4694.0005582090998</v>
      </c>
      <c r="H478" s="6">
        <v>0</v>
      </c>
      <c r="I478" s="6">
        <v>0</v>
      </c>
      <c r="J478" s="6">
        <v>0</v>
      </c>
      <c r="K478" s="6">
        <v>1.45455</v>
      </c>
      <c r="L478" s="6">
        <v>0</v>
      </c>
      <c r="M478" s="6">
        <v>790.495</v>
      </c>
      <c r="N478" s="6">
        <v>711.44500000000005</v>
      </c>
      <c r="O478" s="6">
        <v>0</v>
      </c>
      <c r="P478" s="6">
        <v>0</v>
      </c>
      <c r="Q478" s="6">
        <v>577.24905536129995</v>
      </c>
      <c r="R478" s="6">
        <v>577.24905536129995</v>
      </c>
      <c r="S478" s="6">
        <v>1290.22</v>
      </c>
      <c r="T478" s="9">
        <f t="shared" si="25"/>
        <v>7272.9146135703995</v>
      </c>
    </row>
    <row r="479" spans="1:20" x14ac:dyDescent="0.25">
      <c r="A479" s="6" t="str">
        <f>"67985858"</f>
        <v>67985858</v>
      </c>
      <c r="B479" s="6" t="s">
        <v>180</v>
      </c>
      <c r="C479" s="6"/>
      <c r="D479" s="6"/>
      <c r="E479" s="6">
        <v>499</v>
      </c>
      <c r="F479" s="6">
        <v>12868.576008227999</v>
      </c>
      <c r="G479" s="6">
        <v>15844.679244252</v>
      </c>
      <c r="H479" s="6">
        <v>0</v>
      </c>
      <c r="I479" s="6">
        <v>0</v>
      </c>
      <c r="J479" s="6">
        <v>0</v>
      </c>
      <c r="K479" s="6">
        <v>6.4055600000000004</v>
      </c>
      <c r="L479" s="6">
        <v>1</v>
      </c>
      <c r="M479" s="6">
        <v>2482.52</v>
      </c>
      <c r="N479" s="6">
        <v>2465.15</v>
      </c>
      <c r="O479" s="6">
        <v>390</v>
      </c>
      <c r="P479" s="6">
        <v>180.69999980927</v>
      </c>
      <c r="Q479" s="6">
        <v>737.46194771939997</v>
      </c>
      <c r="R479" s="6">
        <v>918.16194752870001</v>
      </c>
      <c r="S479" s="6">
        <v>2323.31</v>
      </c>
      <c r="T479" s="9">
        <f t="shared" si="25"/>
        <v>21551.301191780702</v>
      </c>
    </row>
    <row r="480" spans="1:20" x14ac:dyDescent="0.25">
      <c r="A480" s="6" t="str">
        <f>"67985807"</f>
        <v>67985807</v>
      </c>
      <c r="B480" s="6" t="s">
        <v>181</v>
      </c>
      <c r="C480" s="6"/>
      <c r="D480" s="6"/>
      <c r="E480" s="6">
        <v>512</v>
      </c>
      <c r="F480" s="6">
        <v>9689.7525074171008</v>
      </c>
      <c r="G480" s="6">
        <v>8371.9511485236999</v>
      </c>
      <c r="H480" s="6">
        <v>0</v>
      </c>
      <c r="I480" s="6">
        <v>0</v>
      </c>
      <c r="J480" s="6">
        <v>0</v>
      </c>
      <c r="K480" s="6">
        <v>5.3055599999999998</v>
      </c>
      <c r="L480" s="6">
        <v>1</v>
      </c>
      <c r="M480" s="6">
        <v>1254.19</v>
      </c>
      <c r="N480" s="6">
        <v>1269.5999999999999</v>
      </c>
      <c r="O480" s="6">
        <v>0</v>
      </c>
      <c r="P480" s="6">
        <v>0</v>
      </c>
      <c r="Q480" s="6">
        <v>11.6979543565</v>
      </c>
      <c r="R480" s="6">
        <v>11.6979543565</v>
      </c>
      <c r="S480" s="6">
        <v>509.30200000000002</v>
      </c>
      <c r="T480" s="9">
        <f t="shared" si="25"/>
        <v>10162.551102880199</v>
      </c>
    </row>
    <row r="481" spans="1:20" x14ac:dyDescent="0.25">
      <c r="A481" s="6" t="str">
        <f>"61389005"</f>
        <v>61389005</v>
      </c>
      <c r="B481" s="6" t="s">
        <v>182</v>
      </c>
      <c r="C481" s="6"/>
      <c r="D481" s="6"/>
      <c r="E481" s="6">
        <v>812</v>
      </c>
      <c r="F481" s="6">
        <v>13124.395349652001</v>
      </c>
      <c r="G481" s="6">
        <v>17485.831520930002</v>
      </c>
      <c r="H481" s="6">
        <v>0</v>
      </c>
      <c r="I481" s="6">
        <v>0</v>
      </c>
      <c r="J481" s="6">
        <v>0</v>
      </c>
      <c r="K481" s="6">
        <v>9.4862599999999997</v>
      </c>
      <c r="L481" s="6">
        <v>2</v>
      </c>
      <c r="M481" s="6">
        <v>2323.4</v>
      </c>
      <c r="N481" s="6">
        <v>2112.9499999999998</v>
      </c>
      <c r="O481" s="6">
        <v>20</v>
      </c>
      <c r="P481" s="6">
        <v>10</v>
      </c>
      <c r="Q481" s="6">
        <v>120.4766592905</v>
      </c>
      <c r="R481" s="6">
        <v>130.47665929050001</v>
      </c>
      <c r="S481" s="6">
        <v>255.04900000000001</v>
      </c>
      <c r="T481" s="9">
        <f t="shared" si="25"/>
        <v>19984.307180220501</v>
      </c>
    </row>
    <row r="482" spans="1:20" x14ac:dyDescent="0.25">
      <c r="A482" s="6" t="str">
        <f>"61389013"</f>
        <v>61389013</v>
      </c>
      <c r="B482" s="6" t="s">
        <v>183</v>
      </c>
      <c r="C482" s="6"/>
      <c r="D482" s="6"/>
      <c r="E482" s="6">
        <v>963</v>
      </c>
      <c r="F482" s="6">
        <v>27764.222984160999</v>
      </c>
      <c r="G482" s="6">
        <v>33395.783745314002</v>
      </c>
      <c r="H482" s="6">
        <v>0</v>
      </c>
      <c r="I482" s="6">
        <v>0</v>
      </c>
      <c r="J482" s="6">
        <v>0</v>
      </c>
      <c r="K482" s="6">
        <v>9.7015600000000006</v>
      </c>
      <c r="L482" s="6">
        <v>2</v>
      </c>
      <c r="M482" s="6">
        <v>4113.3900000000003</v>
      </c>
      <c r="N482" s="6">
        <v>3997.58</v>
      </c>
      <c r="O482" s="6">
        <v>350</v>
      </c>
      <c r="P482" s="6">
        <v>180</v>
      </c>
      <c r="Q482" s="6">
        <v>299.13632582619999</v>
      </c>
      <c r="R482" s="6">
        <v>479.13632582619999</v>
      </c>
      <c r="S482" s="6">
        <v>1976.23</v>
      </c>
      <c r="T482" s="9">
        <f t="shared" si="25"/>
        <v>39848.730071140206</v>
      </c>
    </row>
    <row r="483" spans="1:20" x14ac:dyDescent="0.25">
      <c r="A483" s="6" t="str">
        <f>"48546054"</f>
        <v>48546054</v>
      </c>
      <c r="B483" s="6" t="s">
        <v>184</v>
      </c>
      <c r="C483" s="6"/>
      <c r="D483" s="6"/>
      <c r="E483" s="6">
        <v>217</v>
      </c>
      <c r="F483" s="6">
        <v>3721.9884687906001</v>
      </c>
      <c r="G483" s="6">
        <v>3387.7406190647998</v>
      </c>
      <c r="H483" s="6">
        <v>0</v>
      </c>
      <c r="I483" s="6">
        <v>0</v>
      </c>
      <c r="J483" s="6">
        <v>0</v>
      </c>
      <c r="K483" s="6">
        <v>1</v>
      </c>
      <c r="L483" s="6">
        <v>0</v>
      </c>
      <c r="M483" s="6">
        <v>344.75900000000001</v>
      </c>
      <c r="N483" s="6">
        <v>310.28300000000002</v>
      </c>
      <c r="O483" s="6">
        <v>0</v>
      </c>
      <c r="P483" s="6">
        <v>0</v>
      </c>
      <c r="Q483" s="6">
        <v>17.362872812399999</v>
      </c>
      <c r="R483" s="6">
        <v>17.362872812399999</v>
      </c>
      <c r="S483" s="6">
        <v>135.71</v>
      </c>
      <c r="T483" s="9">
        <f t="shared" si="25"/>
        <v>3851.0964918771997</v>
      </c>
    </row>
    <row r="484" spans="1:20" x14ac:dyDescent="0.25">
      <c r="A484" s="6" t="str">
        <f>"68378050"</f>
        <v>68378050</v>
      </c>
      <c r="B484" s="6" t="s">
        <v>185</v>
      </c>
      <c r="C484" s="6"/>
      <c r="D484" s="6"/>
      <c r="E484" s="6">
        <v>398</v>
      </c>
      <c r="F484" s="6">
        <v>14271.328957905</v>
      </c>
      <c r="G484" s="6">
        <v>14805.129249025</v>
      </c>
      <c r="H484" s="6">
        <v>0</v>
      </c>
      <c r="I484" s="6">
        <v>0</v>
      </c>
      <c r="J484" s="6">
        <v>0</v>
      </c>
      <c r="K484" s="6">
        <v>11.970499999999999</v>
      </c>
      <c r="L484" s="6">
        <v>8</v>
      </c>
      <c r="M484" s="6">
        <v>2336.4</v>
      </c>
      <c r="N484" s="6">
        <v>2780.08</v>
      </c>
      <c r="O484" s="6">
        <v>10</v>
      </c>
      <c r="P484" s="6">
        <v>2</v>
      </c>
      <c r="Q484" s="6">
        <v>734.12843974730004</v>
      </c>
      <c r="R484" s="6">
        <v>736.12843974730004</v>
      </c>
      <c r="S484" s="6">
        <v>3113.29</v>
      </c>
      <c r="T484" s="9">
        <f t="shared" si="25"/>
        <v>21434.6276887723</v>
      </c>
    </row>
    <row r="485" spans="1:20" x14ac:dyDescent="0.25">
      <c r="A485" s="6" t="str">
        <f>"61388963"</f>
        <v>61388963</v>
      </c>
      <c r="B485" s="6" t="s">
        <v>186</v>
      </c>
      <c r="C485" s="6"/>
      <c r="D485" s="6"/>
      <c r="E485" s="6">
        <v>1444</v>
      </c>
      <c r="F485" s="6">
        <v>49616.204420121998</v>
      </c>
      <c r="G485" s="6">
        <v>60956.915467239</v>
      </c>
      <c r="H485" s="6">
        <v>0</v>
      </c>
      <c r="I485" s="6">
        <v>0</v>
      </c>
      <c r="J485" s="6">
        <v>0</v>
      </c>
      <c r="K485" s="6">
        <v>20.3</v>
      </c>
      <c r="L485" s="6">
        <v>5</v>
      </c>
      <c r="M485" s="6">
        <v>10160</v>
      </c>
      <c r="N485" s="6">
        <v>9740.33</v>
      </c>
      <c r="O485" s="6">
        <v>730</v>
      </c>
      <c r="P485" s="6">
        <v>461.43000030517999</v>
      </c>
      <c r="Q485" s="6">
        <v>492.45933724579999</v>
      </c>
      <c r="R485" s="6">
        <v>953.88933755100004</v>
      </c>
      <c r="S485" s="6">
        <v>2782.17</v>
      </c>
      <c r="T485" s="9">
        <f t="shared" si="25"/>
        <v>74433.304804789994</v>
      </c>
    </row>
    <row r="486" spans="1:20" x14ac:dyDescent="0.25">
      <c r="A486" s="6" t="str">
        <f>"68378068"</f>
        <v>68378068</v>
      </c>
      <c r="B486" s="6" t="s">
        <v>187</v>
      </c>
      <c r="C486" s="6"/>
      <c r="D486" s="6"/>
      <c r="E486" s="6">
        <v>418</v>
      </c>
      <c r="F486" s="6">
        <v>6104.7031294217004</v>
      </c>
      <c r="G486" s="6">
        <v>6034.4780161130002</v>
      </c>
      <c r="H486" s="6">
        <v>0</v>
      </c>
      <c r="I486" s="6">
        <v>0</v>
      </c>
      <c r="J486" s="6">
        <v>0</v>
      </c>
      <c r="K486" s="6">
        <v>4.5555599999999998</v>
      </c>
      <c r="L486" s="6">
        <v>0</v>
      </c>
      <c r="M486" s="6">
        <v>976.226</v>
      </c>
      <c r="N486" s="6">
        <v>878.60299999999995</v>
      </c>
      <c r="O486" s="6">
        <v>0</v>
      </c>
      <c r="P486" s="6">
        <v>0</v>
      </c>
      <c r="Q486" s="6">
        <v>66.261140061299997</v>
      </c>
      <c r="R486" s="6">
        <v>66.261140061299997</v>
      </c>
      <c r="S486" s="6">
        <v>160.636</v>
      </c>
      <c r="T486" s="9">
        <f t="shared" si="25"/>
        <v>7139.9781561743002</v>
      </c>
    </row>
    <row r="487" spans="1:20" x14ac:dyDescent="0.25">
      <c r="A487" s="6" t="str">
        <f>"67985874"</f>
        <v>67985874</v>
      </c>
      <c r="B487" s="6" t="s">
        <v>188</v>
      </c>
      <c r="C487" s="6"/>
      <c r="D487" s="6"/>
      <c r="E487" s="6">
        <v>139</v>
      </c>
      <c r="F487" s="6">
        <v>2687.5855693352</v>
      </c>
      <c r="G487" s="6">
        <v>3514.4353760872</v>
      </c>
      <c r="H487" s="6">
        <v>0</v>
      </c>
      <c r="I487" s="6">
        <v>0</v>
      </c>
      <c r="J487" s="6">
        <v>0</v>
      </c>
      <c r="K487" s="6">
        <v>2.8666700000000001</v>
      </c>
      <c r="L487" s="6">
        <v>1</v>
      </c>
      <c r="M487" s="6">
        <v>332.03899999999999</v>
      </c>
      <c r="N487" s="6">
        <v>312.63600000000002</v>
      </c>
      <c r="O487" s="6">
        <v>0</v>
      </c>
      <c r="P487" s="6">
        <v>0</v>
      </c>
      <c r="Q487" s="6">
        <v>20.410067216400002</v>
      </c>
      <c r="R487" s="6">
        <v>20.410067216400002</v>
      </c>
      <c r="S487" s="6">
        <v>241.61099999999999</v>
      </c>
      <c r="T487" s="9">
        <f t="shared" si="25"/>
        <v>4089.0924433035998</v>
      </c>
    </row>
    <row r="488" spans="1:20" x14ac:dyDescent="0.25">
      <c r="A488" s="6" t="str">
        <f>"68378092"</f>
        <v>68378092</v>
      </c>
      <c r="B488" s="6" t="s">
        <v>189</v>
      </c>
      <c r="C488" s="6"/>
      <c r="D488" s="6"/>
      <c r="E488" s="6">
        <v>326</v>
      </c>
      <c r="F488" s="6">
        <v>3242.9665896299998</v>
      </c>
      <c r="G488" s="6">
        <v>2959.0435844620001</v>
      </c>
      <c r="H488" s="6">
        <v>0</v>
      </c>
      <c r="I488" s="6">
        <v>0</v>
      </c>
      <c r="J488" s="6">
        <v>0</v>
      </c>
      <c r="K488" s="6">
        <v>3.88889</v>
      </c>
      <c r="L488" s="6">
        <v>0</v>
      </c>
      <c r="M488" s="6">
        <v>355.97199999999998</v>
      </c>
      <c r="N488" s="6">
        <v>320.375</v>
      </c>
      <c r="O488" s="6">
        <v>0</v>
      </c>
      <c r="P488" s="6">
        <v>0</v>
      </c>
      <c r="Q488" s="6">
        <v>169.2726716937</v>
      </c>
      <c r="R488" s="6">
        <v>169.2726716937</v>
      </c>
      <c r="S488" s="6">
        <v>191.62299999999999</v>
      </c>
      <c r="T488" s="9">
        <f t="shared" si="25"/>
        <v>3640.3142561557001</v>
      </c>
    </row>
    <row r="489" spans="1:20" x14ac:dyDescent="0.25">
      <c r="A489" s="6" t="str">
        <f>"00023698"</f>
        <v>00023698</v>
      </c>
      <c r="B489" s="6" t="s">
        <v>190</v>
      </c>
      <c r="C489" s="6"/>
      <c r="D489" s="6"/>
      <c r="E489" s="6">
        <v>36</v>
      </c>
      <c r="F489" s="6">
        <v>338.64660082973</v>
      </c>
      <c r="G489" s="6">
        <v>309.40892056506999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4.8468796896999997</v>
      </c>
      <c r="R489" s="6">
        <v>4.8468796896999997</v>
      </c>
      <c r="S489" s="6">
        <v>9.157</v>
      </c>
      <c r="T489" s="9">
        <f t="shared" si="25"/>
        <v>323.41280025476999</v>
      </c>
    </row>
    <row r="490" spans="1:20" x14ac:dyDescent="0.25">
      <c r="A490" s="6" t="str">
        <f>"68378114"</f>
        <v>68378114</v>
      </c>
      <c r="B490" s="6" t="s">
        <v>191</v>
      </c>
      <c r="C490" s="6"/>
      <c r="D490" s="6"/>
      <c r="E490" s="6">
        <v>325</v>
      </c>
      <c r="F490" s="6">
        <v>3774.0027582055</v>
      </c>
      <c r="G490" s="6">
        <v>3578.5118683041001</v>
      </c>
      <c r="H490" s="6">
        <v>1</v>
      </c>
      <c r="I490" s="6">
        <v>1</v>
      </c>
      <c r="J490" s="6">
        <v>2000</v>
      </c>
      <c r="K490" s="6">
        <v>0.17391300000000001</v>
      </c>
      <c r="L490" s="6">
        <v>0</v>
      </c>
      <c r="M490" s="6">
        <v>495.05099999999999</v>
      </c>
      <c r="N490" s="6">
        <v>445.54599999999999</v>
      </c>
      <c r="O490" s="6">
        <v>0</v>
      </c>
      <c r="P490" s="6">
        <v>0</v>
      </c>
      <c r="Q490" s="6">
        <v>58.735183412399998</v>
      </c>
      <c r="R490" s="6">
        <v>58.735183412399998</v>
      </c>
      <c r="S490" s="6">
        <v>146.911</v>
      </c>
      <c r="T490" s="9">
        <f t="shared" si="25"/>
        <v>6229.7040517165005</v>
      </c>
    </row>
    <row r="491" spans="1:20" x14ac:dyDescent="0.25">
      <c r="A491" s="6" t="str">
        <f>"68081731"</f>
        <v>68081731</v>
      </c>
      <c r="B491" s="6" t="s">
        <v>192</v>
      </c>
      <c r="C491" s="6"/>
      <c r="D491" s="6"/>
      <c r="E491" s="6">
        <v>333</v>
      </c>
      <c r="F491" s="6">
        <v>8018.6359868830996</v>
      </c>
      <c r="G491" s="6">
        <v>9393.4000366845994</v>
      </c>
      <c r="H491" s="6">
        <v>0</v>
      </c>
      <c r="I491" s="6">
        <v>0</v>
      </c>
      <c r="J491" s="6">
        <v>0</v>
      </c>
      <c r="K491" s="6">
        <v>5.6543299999999999</v>
      </c>
      <c r="L491" s="6">
        <v>3</v>
      </c>
      <c r="M491" s="6">
        <v>1609.64</v>
      </c>
      <c r="N491" s="6">
        <v>1762.42</v>
      </c>
      <c r="O491" s="6">
        <v>10</v>
      </c>
      <c r="P491" s="6">
        <v>10</v>
      </c>
      <c r="Q491" s="6">
        <v>737.89141807179999</v>
      </c>
      <c r="R491" s="6">
        <v>747.89141807179999</v>
      </c>
      <c r="S491" s="6">
        <v>2363.5300000000002</v>
      </c>
      <c r="T491" s="9">
        <f t="shared" si="25"/>
        <v>14267.2414547564</v>
      </c>
    </row>
    <row r="492" spans="1:20" x14ac:dyDescent="0.25">
      <c r="A492" s="6" t="str">
        <f>"68378122"</f>
        <v>68378122</v>
      </c>
      <c r="B492" s="6" t="s">
        <v>193</v>
      </c>
      <c r="C492" s="6"/>
      <c r="D492" s="6"/>
      <c r="E492" s="6">
        <v>217</v>
      </c>
      <c r="F492" s="6">
        <v>1764.7939105867999</v>
      </c>
      <c r="G492" s="6">
        <v>1587.0082178166999</v>
      </c>
      <c r="H492" s="6">
        <v>0</v>
      </c>
      <c r="I492" s="6">
        <v>0</v>
      </c>
      <c r="J492" s="6">
        <v>0</v>
      </c>
      <c r="K492" s="6">
        <v>2</v>
      </c>
      <c r="L492" s="6">
        <v>0</v>
      </c>
      <c r="M492" s="6">
        <v>247.72</v>
      </c>
      <c r="N492" s="6">
        <v>222.94800000000001</v>
      </c>
      <c r="O492" s="6">
        <v>0</v>
      </c>
      <c r="P492" s="6"/>
      <c r="Q492" s="6">
        <v>0</v>
      </c>
      <c r="R492" s="6">
        <v>0</v>
      </c>
      <c r="S492" s="6">
        <v>0</v>
      </c>
      <c r="T492" s="9">
        <f t="shared" si="25"/>
        <v>1809.9562178167</v>
      </c>
    </row>
    <row r="493" spans="1:20" x14ac:dyDescent="0.25">
      <c r="A493" s="6" t="str">
        <f>"67985891"</f>
        <v>67985891</v>
      </c>
      <c r="B493" s="6" t="s">
        <v>194</v>
      </c>
      <c r="C493" s="6"/>
      <c r="D493" s="6"/>
      <c r="E493" s="6">
        <v>282</v>
      </c>
      <c r="F493" s="6">
        <v>4786.4787099037003</v>
      </c>
      <c r="G493" s="6">
        <v>4808.2386542318</v>
      </c>
      <c r="H493" s="6">
        <v>0</v>
      </c>
      <c r="I493" s="6">
        <v>0</v>
      </c>
      <c r="J493" s="6">
        <v>0</v>
      </c>
      <c r="K493" s="6">
        <v>5.8333300000000001</v>
      </c>
      <c r="L493" s="6">
        <v>0</v>
      </c>
      <c r="M493" s="6">
        <v>757.49900000000002</v>
      </c>
      <c r="N493" s="6">
        <v>681.74900000000002</v>
      </c>
      <c r="O493" s="6">
        <v>90</v>
      </c>
      <c r="P493" s="6">
        <v>37.5</v>
      </c>
      <c r="Q493" s="6">
        <v>140.00733483319999</v>
      </c>
      <c r="R493" s="6">
        <v>177.50733483319999</v>
      </c>
      <c r="S493" s="6">
        <v>1513.9</v>
      </c>
      <c r="T493" s="9">
        <f t="shared" si="25"/>
        <v>7181.3949890650001</v>
      </c>
    </row>
    <row r="494" spans="1:20" x14ac:dyDescent="0.25">
      <c r="A494" s="6" t="str">
        <f>"68378297"</f>
        <v>68378297</v>
      </c>
      <c r="B494" s="6" t="s">
        <v>195</v>
      </c>
      <c r="C494" s="6"/>
      <c r="D494" s="6"/>
      <c r="E494" s="6">
        <v>237</v>
      </c>
      <c r="F494" s="6">
        <v>3444.8203897416001</v>
      </c>
      <c r="G494" s="6">
        <v>3101.6444722442998</v>
      </c>
      <c r="H494" s="6">
        <v>0</v>
      </c>
      <c r="I494" s="6">
        <v>0</v>
      </c>
      <c r="J494" s="6">
        <v>0</v>
      </c>
      <c r="K494" s="6">
        <v>2.8</v>
      </c>
      <c r="L494" s="6">
        <v>0</v>
      </c>
      <c r="M494" s="6">
        <v>358.976</v>
      </c>
      <c r="N494" s="6">
        <v>323.07799999999997</v>
      </c>
      <c r="O494" s="6">
        <v>10</v>
      </c>
      <c r="P494" s="6">
        <v>10</v>
      </c>
      <c r="Q494" s="6">
        <v>520.84528243260002</v>
      </c>
      <c r="R494" s="6">
        <v>530.84528243260002</v>
      </c>
      <c r="S494" s="6">
        <v>1495.84</v>
      </c>
      <c r="T494" s="9">
        <f t="shared" si="25"/>
        <v>5451.4077546768995</v>
      </c>
    </row>
    <row r="495" spans="1:20" x14ac:dyDescent="0.25">
      <c r="A495" s="6" t="str">
        <f>"67985556"</f>
        <v>67985556</v>
      </c>
      <c r="B495" s="6" t="s">
        <v>196</v>
      </c>
      <c r="C495" s="6"/>
      <c r="D495" s="6"/>
      <c r="E495" s="6">
        <v>612</v>
      </c>
      <c r="F495" s="6">
        <v>12535.173744374</v>
      </c>
      <c r="G495" s="6">
        <v>10780.213009368001</v>
      </c>
      <c r="H495" s="6">
        <v>0</v>
      </c>
      <c r="I495" s="6">
        <v>0</v>
      </c>
      <c r="J495" s="6">
        <v>0</v>
      </c>
      <c r="K495" s="6">
        <v>7.36</v>
      </c>
      <c r="L495" s="6">
        <v>1</v>
      </c>
      <c r="M495" s="6">
        <v>1524.81</v>
      </c>
      <c r="N495" s="6">
        <v>1453.79</v>
      </c>
      <c r="O495" s="6">
        <v>20</v>
      </c>
      <c r="P495" s="6">
        <v>5</v>
      </c>
      <c r="Q495" s="6">
        <v>227.72154153790001</v>
      </c>
      <c r="R495" s="6">
        <v>232.72154153790001</v>
      </c>
      <c r="S495" s="6">
        <v>1144.28</v>
      </c>
      <c r="T495" s="9">
        <f t="shared" si="25"/>
        <v>13611.0045509059</v>
      </c>
    </row>
    <row r="496" spans="1:20" x14ac:dyDescent="0.25">
      <c r="A496" s="6" t="str">
        <f>"61388998"</f>
        <v>61388998</v>
      </c>
      <c r="B496" s="6" t="s">
        <v>197</v>
      </c>
      <c r="C496" s="6"/>
      <c r="D496" s="6"/>
      <c r="E496" s="6">
        <v>453</v>
      </c>
      <c r="F496" s="6">
        <v>9488.4406457507994</v>
      </c>
      <c r="G496" s="6">
        <v>11690.219619375999</v>
      </c>
      <c r="H496" s="6">
        <v>0</v>
      </c>
      <c r="I496" s="6">
        <v>0</v>
      </c>
      <c r="J496" s="6">
        <v>0</v>
      </c>
      <c r="K496" s="6">
        <v>10.8545</v>
      </c>
      <c r="L496" s="6">
        <v>1</v>
      </c>
      <c r="M496" s="6">
        <v>1266.72</v>
      </c>
      <c r="N496" s="6">
        <v>1174.81</v>
      </c>
      <c r="O496" s="6">
        <v>40</v>
      </c>
      <c r="P496" s="6">
        <v>13</v>
      </c>
      <c r="Q496" s="6">
        <v>355.0697264643</v>
      </c>
      <c r="R496" s="6">
        <v>368.0697264643</v>
      </c>
      <c r="S496" s="6">
        <v>791.39499999999998</v>
      </c>
      <c r="T496" s="9">
        <f t="shared" si="25"/>
        <v>14024.4943458403</v>
      </c>
    </row>
    <row r="497" spans="1:20" x14ac:dyDescent="0.25">
      <c r="A497" s="6" t="str">
        <f>"00027251"</f>
        <v>00027251</v>
      </c>
      <c r="B497" s="6" t="s">
        <v>198</v>
      </c>
      <c r="C497" s="6"/>
      <c r="D497" s="6"/>
      <c r="E497" s="6">
        <v>87</v>
      </c>
      <c r="F497" s="6">
        <v>844.64896509334005</v>
      </c>
      <c r="G497" s="6">
        <v>662.76096213758001</v>
      </c>
      <c r="H497" s="6">
        <v>0</v>
      </c>
      <c r="I497" s="6">
        <v>0</v>
      </c>
      <c r="J497" s="6">
        <v>0</v>
      </c>
      <c r="K497" s="6">
        <v>1</v>
      </c>
      <c r="L497" s="6">
        <v>0</v>
      </c>
      <c r="M497" s="6">
        <v>230.91300000000001</v>
      </c>
      <c r="N497" s="6">
        <v>207.822</v>
      </c>
      <c r="O497" s="6">
        <v>0</v>
      </c>
      <c r="P497" s="6">
        <v>0</v>
      </c>
      <c r="Q497" s="6">
        <v>21.044047260199999</v>
      </c>
      <c r="R497" s="6">
        <v>21.044047260199999</v>
      </c>
      <c r="S497" s="6">
        <v>682.22900000000004</v>
      </c>
      <c r="T497" s="9">
        <f t="shared" si="25"/>
        <v>1573.8560093977801</v>
      </c>
    </row>
    <row r="498" spans="1:20" x14ac:dyDescent="0.25">
      <c r="A498" s="6" t="str">
        <f>"67985904"</f>
        <v>67985904</v>
      </c>
      <c r="B498" s="6" t="s">
        <v>199</v>
      </c>
      <c r="C498" s="6"/>
      <c r="D498" s="6"/>
      <c r="E498" s="6">
        <v>295</v>
      </c>
      <c r="F498" s="6">
        <v>5060.3912540145002</v>
      </c>
      <c r="G498" s="6">
        <v>5251.576842855</v>
      </c>
      <c r="H498" s="6">
        <v>0</v>
      </c>
      <c r="I498" s="6">
        <v>0</v>
      </c>
      <c r="J498" s="6">
        <v>0</v>
      </c>
      <c r="K498" s="6">
        <v>0.30681799999999998</v>
      </c>
      <c r="L498" s="6">
        <v>0</v>
      </c>
      <c r="M498" s="6">
        <v>788.16200000000003</v>
      </c>
      <c r="N498" s="6">
        <v>709.346</v>
      </c>
      <c r="O498" s="6">
        <v>0</v>
      </c>
      <c r="P498" s="6">
        <v>0</v>
      </c>
      <c r="Q498" s="6">
        <v>156.22495337300001</v>
      </c>
      <c r="R498" s="6">
        <v>156.22495337300001</v>
      </c>
      <c r="S498" s="6">
        <v>307.90699999999998</v>
      </c>
      <c r="T498" s="9">
        <f t="shared" si="25"/>
        <v>6425.0547962279998</v>
      </c>
    </row>
    <row r="499" spans="1:20" x14ac:dyDescent="0.25">
      <c r="A499" s="6" t="str">
        <f>"61383082"</f>
        <v>61383082</v>
      </c>
      <c r="B499" s="6" t="s">
        <v>200</v>
      </c>
      <c r="C499" s="6"/>
      <c r="D499" s="6"/>
      <c r="E499" s="6">
        <v>249</v>
      </c>
      <c r="F499" s="6">
        <v>2255.8170947789999</v>
      </c>
      <c r="G499" s="6">
        <v>2059.3385043705998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487.85786918600002</v>
      </c>
      <c r="R499" s="6">
        <v>487.85786918600002</v>
      </c>
      <c r="S499" s="6">
        <v>1153.3599999999999</v>
      </c>
      <c r="T499" s="9">
        <f t="shared" si="25"/>
        <v>3700.5563735565993</v>
      </c>
    </row>
    <row r="500" spans="1:20" x14ac:dyDescent="0.25">
      <c r="A500" s="6" t="str">
        <f>"00098604"</f>
        <v>00098604</v>
      </c>
      <c r="B500" s="6" t="s">
        <v>201</v>
      </c>
      <c r="C500" s="6"/>
      <c r="D500" s="6"/>
      <c r="E500" s="6">
        <v>2</v>
      </c>
      <c r="F500" s="6">
        <v>60</v>
      </c>
      <c r="G500" s="6">
        <v>64.797002792358001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/>
      <c r="Q500" s="6">
        <v>0</v>
      </c>
      <c r="R500" s="6">
        <v>0</v>
      </c>
      <c r="S500" s="6">
        <v>0</v>
      </c>
      <c r="T500" s="9">
        <f t="shared" si="25"/>
        <v>64.797002792358001</v>
      </c>
    </row>
    <row r="501" spans="1:20" x14ac:dyDescent="0.25">
      <c r="A501" s="6" t="str">
        <f t="shared" ref="A501:A507" si="26">"62157124"</f>
        <v>62157124</v>
      </c>
      <c r="B501" s="6" t="s">
        <v>202</v>
      </c>
      <c r="C501" s="6"/>
      <c r="D501" s="6" t="s">
        <v>246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/>
      <c r="Q501" s="6">
        <v>0</v>
      </c>
      <c r="R501" s="6">
        <v>0</v>
      </c>
      <c r="S501" s="6">
        <v>0</v>
      </c>
      <c r="T501" s="9">
        <f t="shared" si="25"/>
        <v>0</v>
      </c>
    </row>
    <row r="502" spans="1:20" x14ac:dyDescent="0.25">
      <c r="A502" s="6" t="str">
        <f t="shared" si="26"/>
        <v>62157124</v>
      </c>
      <c r="B502" s="6" t="s">
        <v>202</v>
      </c>
      <c r="C502" s="6"/>
      <c r="D502" s="6"/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/>
      <c r="Q502" s="6">
        <v>0</v>
      </c>
      <c r="R502" s="6">
        <v>0</v>
      </c>
      <c r="S502" s="6">
        <v>0</v>
      </c>
      <c r="T502" s="9">
        <f t="shared" si="25"/>
        <v>0</v>
      </c>
    </row>
    <row r="503" spans="1:20" x14ac:dyDescent="0.25">
      <c r="A503" s="6" t="str">
        <f t="shared" si="26"/>
        <v>62157124</v>
      </c>
      <c r="B503" s="6" t="s">
        <v>202</v>
      </c>
      <c r="C503" s="6">
        <v>16170</v>
      </c>
      <c r="D503" s="6" t="s">
        <v>530</v>
      </c>
      <c r="E503" s="6">
        <v>481</v>
      </c>
      <c r="F503" s="6">
        <v>6205.0784482566996</v>
      </c>
      <c r="G503" s="6">
        <v>6270.8496768115001</v>
      </c>
      <c r="H503" s="6">
        <v>0</v>
      </c>
      <c r="I503" s="6">
        <v>0</v>
      </c>
      <c r="J503" s="6">
        <v>0</v>
      </c>
      <c r="K503" s="6">
        <v>4.6446300000000003</v>
      </c>
      <c r="L503" s="6">
        <v>0</v>
      </c>
      <c r="M503" s="6">
        <v>660.66300000000001</v>
      </c>
      <c r="N503" s="6">
        <v>594.59699999999998</v>
      </c>
      <c r="O503" s="6">
        <v>0</v>
      </c>
      <c r="P503" s="6">
        <v>0</v>
      </c>
      <c r="Q503" s="6">
        <v>61.618770063200003</v>
      </c>
      <c r="R503" s="6">
        <v>61.618770063200003</v>
      </c>
      <c r="S503" s="6">
        <v>215.446</v>
      </c>
      <c r="T503" s="9">
        <f t="shared" si="25"/>
        <v>7142.5114468746997</v>
      </c>
    </row>
    <row r="504" spans="1:20" x14ac:dyDescent="0.25">
      <c r="A504" s="6" t="str">
        <f t="shared" si="26"/>
        <v>62157124</v>
      </c>
      <c r="B504" s="6" t="s">
        <v>202</v>
      </c>
      <c r="C504" s="6">
        <v>16270</v>
      </c>
      <c r="D504" s="6" t="s">
        <v>531</v>
      </c>
      <c r="E504" s="6">
        <v>647</v>
      </c>
      <c r="F504" s="6">
        <v>8428.2160830173998</v>
      </c>
      <c r="G504" s="6">
        <v>8627.5022618405001</v>
      </c>
      <c r="H504" s="6">
        <v>0</v>
      </c>
      <c r="I504" s="6">
        <v>0</v>
      </c>
      <c r="J504" s="6">
        <v>0</v>
      </c>
      <c r="K504" s="6">
        <v>4.6446300000000003</v>
      </c>
      <c r="L504" s="6">
        <v>0</v>
      </c>
      <c r="M504" s="6">
        <v>1030.67</v>
      </c>
      <c r="N504" s="6">
        <v>927.60299999999995</v>
      </c>
      <c r="O504" s="6">
        <v>0</v>
      </c>
      <c r="P504" s="6">
        <v>0</v>
      </c>
      <c r="Q504" s="6">
        <v>68.735707329099995</v>
      </c>
      <c r="R504" s="6">
        <v>68.735707329099995</v>
      </c>
      <c r="S504" s="6">
        <v>168.73699999999999</v>
      </c>
      <c r="T504" s="9">
        <f t="shared" si="25"/>
        <v>9792.5779691695989</v>
      </c>
    </row>
    <row r="505" spans="1:20" x14ac:dyDescent="0.25">
      <c r="A505" s="6" t="str">
        <f t="shared" si="26"/>
        <v>62157124</v>
      </c>
      <c r="B505" s="6" t="s">
        <v>202</v>
      </c>
      <c r="C505" s="6">
        <v>16370</v>
      </c>
      <c r="D505" s="6" t="s">
        <v>532</v>
      </c>
      <c r="E505" s="6">
        <v>281</v>
      </c>
      <c r="F505" s="6">
        <v>4061.7213944403002</v>
      </c>
      <c r="G505" s="6">
        <v>3857.4285008515999</v>
      </c>
      <c r="H505" s="6">
        <v>0</v>
      </c>
      <c r="I505" s="6">
        <v>0</v>
      </c>
      <c r="J505" s="6">
        <v>0</v>
      </c>
      <c r="K505" s="6">
        <v>4.6446300000000003</v>
      </c>
      <c r="L505" s="6">
        <v>0</v>
      </c>
      <c r="M505" s="6">
        <v>405.87900000000002</v>
      </c>
      <c r="N505" s="6">
        <v>365.291</v>
      </c>
      <c r="O505" s="6">
        <v>10</v>
      </c>
      <c r="P505" s="6">
        <v>10</v>
      </c>
      <c r="Q505" s="6">
        <v>47.650758130500002</v>
      </c>
      <c r="R505" s="6">
        <v>57.650758130500002</v>
      </c>
      <c r="S505" s="6">
        <v>200.274</v>
      </c>
      <c r="T505" s="9">
        <f t="shared" si="25"/>
        <v>4480.6442589821008</v>
      </c>
    </row>
    <row r="506" spans="1:20" x14ac:dyDescent="0.25">
      <c r="A506" s="6" t="str">
        <f t="shared" si="26"/>
        <v>62157124</v>
      </c>
      <c r="B506" s="6" t="s">
        <v>202</v>
      </c>
      <c r="C506" s="6">
        <v>16610</v>
      </c>
      <c r="D506" s="6" t="s">
        <v>533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/>
      <c r="Q506" s="6">
        <v>0</v>
      </c>
      <c r="R506" s="6">
        <v>0</v>
      </c>
      <c r="S506" s="6">
        <v>0</v>
      </c>
      <c r="T506" s="9">
        <f t="shared" si="25"/>
        <v>0</v>
      </c>
    </row>
    <row r="507" spans="1:20" x14ac:dyDescent="0.25">
      <c r="A507" s="6" t="str">
        <f t="shared" si="26"/>
        <v>62157124</v>
      </c>
      <c r="B507" s="6" t="s">
        <v>202</v>
      </c>
      <c r="C507" s="6">
        <v>16810</v>
      </c>
      <c r="D507" s="6" t="s">
        <v>258</v>
      </c>
      <c r="E507" s="6">
        <v>85</v>
      </c>
      <c r="F507" s="6">
        <v>678.08029150166999</v>
      </c>
      <c r="G507" s="6">
        <v>652.45187134799005</v>
      </c>
      <c r="H507" s="6">
        <v>0</v>
      </c>
      <c r="I507" s="6">
        <v>0</v>
      </c>
      <c r="J507" s="6">
        <v>0</v>
      </c>
      <c r="K507" s="6">
        <v>4.6446300000000003</v>
      </c>
      <c r="L507" s="6">
        <v>0</v>
      </c>
      <c r="M507" s="6">
        <v>15.510999999999999</v>
      </c>
      <c r="N507" s="6">
        <v>13.959899999999999</v>
      </c>
      <c r="O507" s="6">
        <v>0</v>
      </c>
      <c r="P507" s="6"/>
      <c r="Q507" s="6">
        <v>0</v>
      </c>
      <c r="R507" s="6">
        <v>0</v>
      </c>
      <c r="S507" s="6">
        <v>0</v>
      </c>
      <c r="T507" s="9">
        <f t="shared" si="25"/>
        <v>666.41177134799</v>
      </c>
    </row>
    <row r="508" spans="1:20" x14ac:dyDescent="0.25">
      <c r="A508" s="6" t="str">
        <f>"28594771"</f>
        <v>28594771</v>
      </c>
      <c r="B508" s="6" t="s">
        <v>203</v>
      </c>
      <c r="C508" s="6"/>
      <c r="D508" s="6"/>
      <c r="E508" s="6">
        <v>2</v>
      </c>
      <c r="F508" s="6">
        <v>31.125</v>
      </c>
      <c r="G508" s="6">
        <v>26.805000305176002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186.98321098170001</v>
      </c>
      <c r="R508" s="6">
        <v>186.98321098170001</v>
      </c>
      <c r="S508" s="6">
        <v>143.072</v>
      </c>
      <c r="T508" s="9">
        <f t="shared" si="25"/>
        <v>356.86021128687605</v>
      </c>
    </row>
    <row r="509" spans="1:20" x14ac:dyDescent="0.25">
      <c r="A509" s="6" t="str">
        <f>"29372259"</f>
        <v>29372259</v>
      </c>
      <c r="B509" s="6" t="s">
        <v>204</v>
      </c>
      <c r="C509" s="6"/>
      <c r="D509" s="6"/>
      <c r="E509" s="6">
        <v>1</v>
      </c>
      <c r="F509" s="6">
        <v>7.4857142857144003</v>
      </c>
      <c r="G509" s="6">
        <v>2.7072831415505001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1560.2657897217</v>
      </c>
      <c r="R509" s="6">
        <v>1560.2657897217</v>
      </c>
      <c r="S509" s="6">
        <v>1482.1</v>
      </c>
      <c r="T509" s="9">
        <f t="shared" si="25"/>
        <v>3045.0730728632507</v>
      </c>
    </row>
    <row r="510" spans="1:20" x14ac:dyDescent="0.25">
      <c r="A510" s="6" t="str">
        <f>"00064165"</f>
        <v>00064165</v>
      </c>
      <c r="B510" s="6" t="s">
        <v>205</v>
      </c>
      <c r="C510" s="6"/>
      <c r="D510" s="6" t="s">
        <v>246</v>
      </c>
      <c r="E510" s="6">
        <v>2544</v>
      </c>
      <c r="F510" s="6">
        <v>17928.359264270999</v>
      </c>
      <c r="G510" s="6">
        <v>17091.464034051001</v>
      </c>
      <c r="H510" s="6">
        <v>0</v>
      </c>
      <c r="I510" s="6">
        <v>0</v>
      </c>
      <c r="J510" s="6">
        <v>0</v>
      </c>
      <c r="K510" s="6">
        <v>16.271599999999999</v>
      </c>
      <c r="L510" s="6">
        <v>3</v>
      </c>
      <c r="M510" s="6">
        <v>3057.63</v>
      </c>
      <c r="N510" s="6">
        <v>2816.8</v>
      </c>
      <c r="O510" s="6">
        <v>0</v>
      </c>
      <c r="P510" s="6">
        <v>0</v>
      </c>
      <c r="Q510" s="6">
        <v>1737.9233587688</v>
      </c>
      <c r="R510" s="6">
        <v>1737.9233587688</v>
      </c>
      <c r="S510" s="6">
        <v>3301.44</v>
      </c>
      <c r="T510" s="9">
        <f t="shared" si="25"/>
        <v>24947.627392819799</v>
      </c>
    </row>
    <row r="511" spans="1:20" x14ac:dyDescent="0.25">
      <c r="A511" s="6" t="str">
        <f>"00064165"</f>
        <v>00064165</v>
      </c>
      <c r="B511" s="6" t="s">
        <v>205</v>
      </c>
      <c r="C511" s="6" t="s">
        <v>534</v>
      </c>
      <c r="D511" s="6" t="s">
        <v>535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24.541162985700002</v>
      </c>
      <c r="R511" s="6">
        <v>24.541162985700002</v>
      </c>
      <c r="S511" s="6">
        <v>58.497</v>
      </c>
      <c r="T511" s="9">
        <f t="shared" si="25"/>
        <v>83.038162985699998</v>
      </c>
    </row>
    <row r="512" spans="1:20" x14ac:dyDescent="0.25">
      <c r="A512" s="6" t="str">
        <f>"46709002"</f>
        <v>46709002</v>
      </c>
      <c r="B512" s="6" t="s">
        <v>206</v>
      </c>
      <c r="C512" s="6"/>
      <c r="D512" s="6"/>
      <c r="E512" s="6">
        <v>43</v>
      </c>
      <c r="F512" s="6">
        <v>198.18663790798999</v>
      </c>
      <c r="G512" s="6">
        <v>182.65048143761999</v>
      </c>
      <c r="H512" s="6">
        <v>0</v>
      </c>
      <c r="I512" s="6">
        <v>0</v>
      </c>
      <c r="J512" s="6">
        <v>0</v>
      </c>
      <c r="K512" s="6">
        <v>1.75</v>
      </c>
      <c r="L512" s="6">
        <v>0</v>
      </c>
      <c r="M512" s="6">
        <v>629.01900000000001</v>
      </c>
      <c r="N512" s="6">
        <v>566.11699999999996</v>
      </c>
      <c r="O512" s="6">
        <v>470</v>
      </c>
      <c r="P512" s="6">
        <v>260</v>
      </c>
      <c r="Q512" s="6">
        <v>927.98317636490003</v>
      </c>
      <c r="R512" s="6">
        <v>1187.9831763648999</v>
      </c>
      <c r="S512" s="6">
        <v>5653.6</v>
      </c>
      <c r="T512" s="9">
        <f t="shared" si="25"/>
        <v>7590.3506578025208</v>
      </c>
    </row>
    <row r="513" spans="1:20" x14ac:dyDescent="0.25">
      <c r="A513" s="6" t="str">
        <f t="shared" ref="A513:A540" si="27">"61989100"</f>
        <v>61989100</v>
      </c>
      <c r="B513" s="6" t="s">
        <v>207</v>
      </c>
      <c r="C513" s="6"/>
      <c r="D513" s="6" t="s">
        <v>246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/>
      <c r="Q513" s="6">
        <v>0</v>
      </c>
      <c r="R513" s="6">
        <v>0</v>
      </c>
      <c r="S513" s="6">
        <v>0</v>
      </c>
      <c r="T513" s="9">
        <f t="shared" si="25"/>
        <v>0</v>
      </c>
    </row>
    <row r="514" spans="1:20" x14ac:dyDescent="0.25">
      <c r="A514" s="6" t="str">
        <f t="shared" si="27"/>
        <v>61989100</v>
      </c>
      <c r="B514" s="6" t="s">
        <v>207</v>
      </c>
      <c r="C514" s="6"/>
      <c r="D514" s="6"/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17.134399999999999</v>
      </c>
      <c r="L514" s="6">
        <v>0</v>
      </c>
      <c r="M514" s="6">
        <v>3.8290000000000002</v>
      </c>
      <c r="N514" s="6">
        <v>3.4460999999999999</v>
      </c>
      <c r="O514" s="6">
        <v>0</v>
      </c>
      <c r="P514" s="6"/>
      <c r="Q514" s="6">
        <v>0</v>
      </c>
      <c r="R514" s="6">
        <v>0</v>
      </c>
      <c r="S514" s="6">
        <v>0</v>
      </c>
      <c r="T514" s="9">
        <f t="shared" si="25"/>
        <v>3.4460999999999999</v>
      </c>
    </row>
    <row r="515" spans="1:20" x14ac:dyDescent="0.25">
      <c r="A515" s="6" t="str">
        <f t="shared" si="27"/>
        <v>61989100</v>
      </c>
      <c r="B515" s="6" t="s">
        <v>207</v>
      </c>
      <c r="C515" s="6">
        <v>27120</v>
      </c>
      <c r="D515" s="6" t="s">
        <v>278</v>
      </c>
      <c r="E515" s="6">
        <v>494</v>
      </c>
      <c r="F515" s="6">
        <v>7112.0761712684998</v>
      </c>
      <c r="G515" s="6">
        <v>4090.9455503904001</v>
      </c>
      <c r="H515" s="6">
        <v>0</v>
      </c>
      <c r="I515" s="6">
        <v>0</v>
      </c>
      <c r="J515" s="6">
        <v>0</v>
      </c>
      <c r="K515" s="6">
        <v>17.134399999999999</v>
      </c>
      <c r="L515" s="6">
        <v>0</v>
      </c>
      <c r="M515" s="6">
        <v>332.63600000000002</v>
      </c>
      <c r="N515" s="6">
        <v>299.37200000000001</v>
      </c>
      <c r="O515" s="6">
        <v>0</v>
      </c>
      <c r="P515" s="6">
        <v>0</v>
      </c>
      <c r="Q515" s="6">
        <v>71.353431380900005</v>
      </c>
      <c r="R515" s="6">
        <v>71.353431380900005</v>
      </c>
      <c r="S515" s="6">
        <v>818.31799999999998</v>
      </c>
      <c r="T515" s="9">
        <f t="shared" si="25"/>
        <v>5279.9889817713001</v>
      </c>
    </row>
    <row r="516" spans="1:20" x14ac:dyDescent="0.25">
      <c r="A516" s="6" t="str">
        <f t="shared" si="27"/>
        <v>61989100</v>
      </c>
      <c r="B516" s="6" t="s">
        <v>207</v>
      </c>
      <c r="C516" s="6">
        <v>27200</v>
      </c>
      <c r="D516" s="6" t="s">
        <v>536</v>
      </c>
      <c r="E516" s="6">
        <v>190</v>
      </c>
      <c r="F516" s="6">
        <v>1905.4734534629999</v>
      </c>
      <c r="G516" s="6">
        <v>1272.3582051361</v>
      </c>
      <c r="H516" s="6">
        <v>0</v>
      </c>
      <c r="I516" s="6">
        <v>0</v>
      </c>
      <c r="J516" s="6">
        <v>0</v>
      </c>
      <c r="K516" s="6">
        <v>17.134399999999999</v>
      </c>
      <c r="L516" s="6">
        <v>0</v>
      </c>
      <c r="M516" s="6">
        <v>176.00899999999999</v>
      </c>
      <c r="N516" s="6">
        <v>158.40799999999999</v>
      </c>
      <c r="O516" s="6">
        <v>10</v>
      </c>
      <c r="P516" s="6">
        <v>10</v>
      </c>
      <c r="Q516" s="6">
        <v>266.66018680849999</v>
      </c>
      <c r="R516" s="6">
        <v>276.66018680849999</v>
      </c>
      <c r="S516" s="6">
        <v>940.63</v>
      </c>
      <c r="T516" s="9">
        <f t="shared" si="25"/>
        <v>2648.0563919445999</v>
      </c>
    </row>
    <row r="517" spans="1:20" x14ac:dyDescent="0.25">
      <c r="A517" s="6" t="str">
        <f t="shared" si="27"/>
        <v>61989100</v>
      </c>
      <c r="B517" s="6" t="s">
        <v>207</v>
      </c>
      <c r="C517" s="6">
        <v>27230</v>
      </c>
      <c r="D517" s="6" t="s">
        <v>279</v>
      </c>
      <c r="E517" s="6">
        <v>659</v>
      </c>
      <c r="F517" s="6">
        <v>5493.1602053850002</v>
      </c>
      <c r="G517" s="6">
        <v>4594.2119379063997</v>
      </c>
      <c r="H517" s="6">
        <v>0</v>
      </c>
      <c r="I517" s="6">
        <v>0</v>
      </c>
      <c r="J517" s="6">
        <v>0</v>
      </c>
      <c r="K517" s="6">
        <v>17.134399999999999</v>
      </c>
      <c r="L517" s="6">
        <v>0</v>
      </c>
      <c r="M517" s="6">
        <v>1537.34</v>
      </c>
      <c r="N517" s="6">
        <v>1383.61</v>
      </c>
      <c r="O517" s="6">
        <v>390</v>
      </c>
      <c r="P517" s="6">
        <v>270</v>
      </c>
      <c r="Q517" s="6">
        <v>182.62715455169999</v>
      </c>
      <c r="R517" s="6">
        <v>452.62715455170002</v>
      </c>
      <c r="S517" s="6">
        <v>7627.22</v>
      </c>
      <c r="T517" s="9">
        <f t="shared" ref="T517:T580" si="28">G517+J517+N517+R517+S517</f>
        <v>14057.6690924581</v>
      </c>
    </row>
    <row r="518" spans="1:20" x14ac:dyDescent="0.25">
      <c r="A518" s="6" t="str">
        <f t="shared" si="27"/>
        <v>61989100</v>
      </c>
      <c r="B518" s="6" t="s">
        <v>207</v>
      </c>
      <c r="C518" s="6">
        <v>27240</v>
      </c>
      <c r="D518" s="6" t="s">
        <v>505</v>
      </c>
      <c r="E518" s="6">
        <v>1766</v>
      </c>
      <c r="F518" s="6">
        <v>20850.947216582001</v>
      </c>
      <c r="G518" s="6">
        <v>17442.779862660998</v>
      </c>
      <c r="H518" s="6">
        <v>0</v>
      </c>
      <c r="I518" s="6">
        <v>0</v>
      </c>
      <c r="J518" s="6">
        <v>0</v>
      </c>
      <c r="K518" s="6">
        <v>17.134399999999999</v>
      </c>
      <c r="L518" s="6">
        <v>2</v>
      </c>
      <c r="M518" s="6">
        <v>2177.06</v>
      </c>
      <c r="N518" s="6">
        <v>2466.6</v>
      </c>
      <c r="O518" s="6">
        <v>110</v>
      </c>
      <c r="P518" s="6">
        <v>60</v>
      </c>
      <c r="Q518" s="6">
        <v>321.36652929740001</v>
      </c>
      <c r="R518" s="6">
        <v>381.36652929740001</v>
      </c>
      <c r="S518" s="6">
        <v>5482.48</v>
      </c>
      <c r="T518" s="9">
        <f t="shared" si="28"/>
        <v>25773.226391958397</v>
      </c>
    </row>
    <row r="519" spans="1:20" x14ac:dyDescent="0.25">
      <c r="A519" s="6" t="str">
        <f t="shared" si="27"/>
        <v>61989100</v>
      </c>
      <c r="B519" s="6" t="s">
        <v>207</v>
      </c>
      <c r="C519" s="6">
        <v>27350</v>
      </c>
      <c r="D519" s="6" t="s">
        <v>537</v>
      </c>
      <c r="E519" s="6">
        <v>903</v>
      </c>
      <c r="F519" s="6">
        <v>9384.5478376842002</v>
      </c>
      <c r="G519" s="6">
        <v>8887.4230671859004</v>
      </c>
      <c r="H519" s="6">
        <v>0</v>
      </c>
      <c r="I519" s="6">
        <v>0</v>
      </c>
      <c r="J519" s="6">
        <v>0</v>
      </c>
      <c r="K519" s="6">
        <v>17.134399999999999</v>
      </c>
      <c r="L519" s="6">
        <v>0</v>
      </c>
      <c r="M519" s="6">
        <v>989.69</v>
      </c>
      <c r="N519" s="6">
        <v>890.721</v>
      </c>
      <c r="O519" s="6">
        <v>10</v>
      </c>
      <c r="P519" s="6">
        <v>10</v>
      </c>
      <c r="Q519" s="6">
        <v>404.92918926359999</v>
      </c>
      <c r="R519" s="6">
        <v>414.92918926359999</v>
      </c>
      <c r="S519" s="6">
        <v>2146.0700000000002</v>
      </c>
      <c r="T519" s="9">
        <f t="shared" si="28"/>
        <v>12339.143256449499</v>
      </c>
    </row>
    <row r="520" spans="1:20" x14ac:dyDescent="0.25">
      <c r="A520" s="6" t="str">
        <f t="shared" si="27"/>
        <v>61989100</v>
      </c>
      <c r="B520" s="6" t="s">
        <v>207</v>
      </c>
      <c r="C520" s="6">
        <v>27360</v>
      </c>
      <c r="D520" s="6" t="s">
        <v>538</v>
      </c>
      <c r="E520" s="6">
        <v>1002</v>
      </c>
      <c r="F520" s="6">
        <v>9848.2996237176994</v>
      </c>
      <c r="G520" s="6">
        <v>9177.7661768219004</v>
      </c>
      <c r="H520" s="6">
        <v>0</v>
      </c>
      <c r="I520" s="6">
        <v>0</v>
      </c>
      <c r="J520" s="6">
        <v>0</v>
      </c>
      <c r="K520" s="6">
        <v>17.134399999999999</v>
      </c>
      <c r="L520" s="6">
        <v>2</v>
      </c>
      <c r="M520" s="6">
        <v>1365.07</v>
      </c>
      <c r="N520" s="6">
        <v>1498.86</v>
      </c>
      <c r="O520" s="6">
        <v>40</v>
      </c>
      <c r="P520" s="6">
        <v>20</v>
      </c>
      <c r="Q520" s="6">
        <v>496.16096266279999</v>
      </c>
      <c r="R520" s="6">
        <v>516.16096266279999</v>
      </c>
      <c r="S520" s="6">
        <v>2428.21</v>
      </c>
      <c r="T520" s="9">
        <f t="shared" si="28"/>
        <v>13620.997139484702</v>
      </c>
    </row>
    <row r="521" spans="1:20" x14ac:dyDescent="0.25">
      <c r="A521" s="6" t="str">
        <f t="shared" si="27"/>
        <v>61989100</v>
      </c>
      <c r="B521" s="6" t="s">
        <v>207</v>
      </c>
      <c r="C521" s="6">
        <v>27510</v>
      </c>
      <c r="D521" s="6" t="s">
        <v>312</v>
      </c>
      <c r="E521" s="6">
        <v>1041</v>
      </c>
      <c r="F521" s="6">
        <v>11596.587864587</v>
      </c>
      <c r="G521" s="6">
        <v>8268.9344750523996</v>
      </c>
      <c r="H521" s="6">
        <v>0</v>
      </c>
      <c r="I521" s="6">
        <v>0</v>
      </c>
      <c r="J521" s="6">
        <v>0</v>
      </c>
      <c r="K521" s="6">
        <v>17.134399999999999</v>
      </c>
      <c r="L521" s="6">
        <v>0</v>
      </c>
      <c r="M521" s="6">
        <v>715.44500000000005</v>
      </c>
      <c r="N521" s="6">
        <v>643.90099999999995</v>
      </c>
      <c r="O521" s="6">
        <v>0</v>
      </c>
      <c r="P521" s="6"/>
      <c r="Q521" s="6">
        <v>0</v>
      </c>
      <c r="R521" s="6">
        <v>0</v>
      </c>
      <c r="S521" s="6">
        <v>5.8103300000000004</v>
      </c>
      <c r="T521" s="9">
        <f t="shared" si="28"/>
        <v>8918.6458050523997</v>
      </c>
    </row>
    <row r="522" spans="1:20" x14ac:dyDescent="0.25">
      <c r="A522" s="6" t="str">
        <f t="shared" si="27"/>
        <v>61989100</v>
      </c>
      <c r="B522" s="6" t="s">
        <v>207</v>
      </c>
      <c r="C522" s="6">
        <v>27600</v>
      </c>
      <c r="D522" s="6" t="s">
        <v>539</v>
      </c>
      <c r="E522" s="6">
        <v>46</v>
      </c>
      <c r="F522" s="6">
        <v>544.39716270485997</v>
      </c>
      <c r="G522" s="6">
        <v>467.43950546920001</v>
      </c>
      <c r="H522" s="6">
        <v>0</v>
      </c>
      <c r="I522" s="6">
        <v>0</v>
      </c>
      <c r="J522" s="6">
        <v>0</v>
      </c>
      <c r="K522" s="6">
        <v>17.134399999999999</v>
      </c>
      <c r="L522" s="6">
        <v>0</v>
      </c>
      <c r="M522" s="6">
        <v>59.890999999999998</v>
      </c>
      <c r="N522" s="6">
        <v>53.901899999999998</v>
      </c>
      <c r="O522" s="6">
        <v>0</v>
      </c>
      <c r="P522" s="6"/>
      <c r="Q522" s="6">
        <v>0</v>
      </c>
      <c r="R522" s="6">
        <v>0</v>
      </c>
      <c r="S522" s="6">
        <v>38.084000000000003</v>
      </c>
      <c r="T522" s="9">
        <f t="shared" si="28"/>
        <v>559.42540546920009</v>
      </c>
    </row>
    <row r="523" spans="1:20" x14ac:dyDescent="0.25">
      <c r="A523" s="6" t="str">
        <f t="shared" si="27"/>
        <v>61989100</v>
      </c>
      <c r="B523" s="6" t="s">
        <v>207</v>
      </c>
      <c r="C523" s="6">
        <v>27610</v>
      </c>
      <c r="D523" s="6" t="s">
        <v>540</v>
      </c>
      <c r="E523" s="6">
        <v>4</v>
      </c>
      <c r="F523" s="6">
        <v>28.901000022887999</v>
      </c>
      <c r="G523" s="6">
        <v>30.591000020504001</v>
      </c>
      <c r="H523" s="6">
        <v>0</v>
      </c>
      <c r="I523" s="6">
        <v>0</v>
      </c>
      <c r="J523" s="6">
        <v>0</v>
      </c>
      <c r="K523" s="6">
        <v>17.134399999999999</v>
      </c>
      <c r="L523" s="6">
        <v>0</v>
      </c>
      <c r="M523" s="6">
        <v>3.0920000000000001</v>
      </c>
      <c r="N523" s="6">
        <v>2.7827999999999999</v>
      </c>
      <c r="O523" s="6">
        <v>0</v>
      </c>
      <c r="P523" s="6"/>
      <c r="Q523" s="6">
        <v>0</v>
      </c>
      <c r="R523" s="6">
        <v>0</v>
      </c>
      <c r="S523" s="6">
        <v>0</v>
      </c>
      <c r="T523" s="9">
        <f t="shared" si="28"/>
        <v>33.373800020504</v>
      </c>
    </row>
    <row r="524" spans="1:20" x14ac:dyDescent="0.25">
      <c r="A524" s="6" t="str">
        <f t="shared" si="27"/>
        <v>61989100</v>
      </c>
      <c r="B524" s="6" t="s">
        <v>207</v>
      </c>
      <c r="C524" s="6">
        <v>27620</v>
      </c>
      <c r="D524" s="6" t="s">
        <v>541</v>
      </c>
      <c r="E524" s="6">
        <v>77</v>
      </c>
      <c r="F524" s="6">
        <v>195.65591174673</v>
      </c>
      <c r="G524" s="6">
        <v>150.25379805822001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/>
      <c r="Q524" s="6">
        <v>0</v>
      </c>
      <c r="R524" s="6">
        <v>0</v>
      </c>
      <c r="S524" s="6">
        <v>0</v>
      </c>
      <c r="T524" s="9">
        <f t="shared" si="28"/>
        <v>150.25379805822001</v>
      </c>
    </row>
    <row r="525" spans="1:20" x14ac:dyDescent="0.25">
      <c r="A525" s="6" t="str">
        <f t="shared" si="27"/>
        <v>61989100</v>
      </c>
      <c r="B525" s="6" t="s">
        <v>207</v>
      </c>
      <c r="C525" s="6">
        <v>27630</v>
      </c>
      <c r="D525" s="6" t="s">
        <v>542</v>
      </c>
      <c r="E525" s="6">
        <v>4</v>
      </c>
      <c r="F525" s="6">
        <v>13.032999992371</v>
      </c>
      <c r="G525" s="6">
        <v>13.129000306129001</v>
      </c>
      <c r="H525" s="6">
        <v>0</v>
      </c>
      <c r="I525" s="6">
        <v>0</v>
      </c>
      <c r="J525" s="6">
        <v>0</v>
      </c>
      <c r="K525" s="6">
        <v>17.134399999999999</v>
      </c>
      <c r="L525" s="6">
        <v>0</v>
      </c>
      <c r="M525" s="6">
        <v>0.86399999999999999</v>
      </c>
      <c r="N525" s="6">
        <v>0.77759999999999996</v>
      </c>
      <c r="O525" s="6">
        <v>0</v>
      </c>
      <c r="P525" s="6"/>
      <c r="Q525" s="6">
        <v>0</v>
      </c>
      <c r="R525" s="6">
        <v>0</v>
      </c>
      <c r="S525" s="6">
        <v>0</v>
      </c>
      <c r="T525" s="9">
        <f t="shared" si="28"/>
        <v>13.906600306129</v>
      </c>
    </row>
    <row r="526" spans="1:20" x14ac:dyDescent="0.25">
      <c r="A526" s="6" t="str">
        <f t="shared" si="27"/>
        <v>61989100</v>
      </c>
      <c r="B526" s="6" t="s">
        <v>207</v>
      </c>
      <c r="C526" s="6">
        <v>27640</v>
      </c>
      <c r="D526" s="6" t="s">
        <v>543</v>
      </c>
      <c r="E526" s="6">
        <v>128</v>
      </c>
      <c r="F526" s="6">
        <v>2528.3862877585002</v>
      </c>
      <c r="G526" s="6">
        <v>2603.0047840038001</v>
      </c>
      <c r="H526" s="6">
        <v>0</v>
      </c>
      <c r="I526" s="6">
        <v>0</v>
      </c>
      <c r="J526" s="6">
        <v>0</v>
      </c>
      <c r="K526" s="6">
        <v>17.134399999999999</v>
      </c>
      <c r="L526" s="6">
        <v>0</v>
      </c>
      <c r="M526" s="6">
        <v>313.02699999999999</v>
      </c>
      <c r="N526" s="6">
        <v>281.72399999999999</v>
      </c>
      <c r="O526" s="6">
        <v>70</v>
      </c>
      <c r="P526" s="6">
        <v>43.299999237061002</v>
      </c>
      <c r="Q526" s="6">
        <v>20.021498802499998</v>
      </c>
      <c r="R526" s="6">
        <v>63.3214980395</v>
      </c>
      <c r="S526" s="6">
        <v>343.64299999999997</v>
      </c>
      <c r="T526" s="9">
        <f t="shared" si="28"/>
        <v>3291.6932820433003</v>
      </c>
    </row>
    <row r="527" spans="1:20" x14ac:dyDescent="0.25">
      <c r="A527" s="6" t="str">
        <f t="shared" si="27"/>
        <v>61989100</v>
      </c>
      <c r="B527" s="6" t="s">
        <v>207</v>
      </c>
      <c r="C527" s="6">
        <v>27650</v>
      </c>
      <c r="D527" s="6" t="s">
        <v>544</v>
      </c>
      <c r="E527" s="6">
        <v>79</v>
      </c>
      <c r="F527" s="6">
        <v>815.87584120540998</v>
      </c>
      <c r="G527" s="6">
        <v>716.89905126837004</v>
      </c>
      <c r="H527" s="6">
        <v>0</v>
      </c>
      <c r="I527" s="6">
        <v>0</v>
      </c>
      <c r="J527" s="6">
        <v>0</v>
      </c>
      <c r="K527" s="6">
        <v>17.134399999999999</v>
      </c>
      <c r="L527" s="6">
        <v>0</v>
      </c>
      <c r="M527" s="6">
        <v>415.714</v>
      </c>
      <c r="N527" s="6">
        <v>374.14299999999997</v>
      </c>
      <c r="O527" s="6">
        <v>0</v>
      </c>
      <c r="P527" s="6">
        <v>0</v>
      </c>
      <c r="Q527" s="6">
        <v>533.52488330849997</v>
      </c>
      <c r="R527" s="6">
        <v>533.52488330849997</v>
      </c>
      <c r="S527" s="6">
        <v>2104.69</v>
      </c>
      <c r="T527" s="9">
        <f t="shared" si="28"/>
        <v>3729.2569345768698</v>
      </c>
    </row>
    <row r="528" spans="1:20" x14ac:dyDescent="0.25">
      <c r="A528" s="6" t="str">
        <f t="shared" si="27"/>
        <v>61989100</v>
      </c>
      <c r="B528" s="6" t="s">
        <v>207</v>
      </c>
      <c r="C528" s="6">
        <v>27660</v>
      </c>
      <c r="D528" s="6" t="s">
        <v>320</v>
      </c>
      <c r="E528" s="6">
        <v>2</v>
      </c>
      <c r="F528" s="6">
        <v>44</v>
      </c>
      <c r="G528" s="6">
        <v>48.300002098082999</v>
      </c>
      <c r="H528" s="6">
        <v>0</v>
      </c>
      <c r="I528" s="6">
        <v>0</v>
      </c>
      <c r="J528" s="6">
        <v>0</v>
      </c>
      <c r="K528" s="6">
        <v>17.134399999999999</v>
      </c>
      <c r="L528" s="6">
        <v>0</v>
      </c>
      <c r="M528" s="6">
        <v>6.8479999999999999</v>
      </c>
      <c r="N528" s="6">
        <v>6.1631999999999998</v>
      </c>
      <c r="O528" s="6">
        <v>0</v>
      </c>
      <c r="P528" s="6"/>
      <c r="Q528" s="6">
        <v>0</v>
      </c>
      <c r="R528" s="6">
        <v>0</v>
      </c>
      <c r="S528" s="6">
        <v>0</v>
      </c>
      <c r="T528" s="9">
        <f t="shared" si="28"/>
        <v>54.463202098083002</v>
      </c>
    </row>
    <row r="529" spans="1:20" x14ac:dyDescent="0.25">
      <c r="A529" s="6" t="str">
        <f t="shared" si="27"/>
        <v>61989100</v>
      </c>
      <c r="B529" s="6" t="s">
        <v>207</v>
      </c>
      <c r="C529" s="6">
        <v>27670</v>
      </c>
      <c r="D529" s="6" t="s">
        <v>295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/>
      <c r="Q529" s="6">
        <v>0</v>
      </c>
      <c r="R529" s="6">
        <v>0</v>
      </c>
      <c r="S529" s="6">
        <v>0</v>
      </c>
      <c r="T529" s="9">
        <f t="shared" si="28"/>
        <v>0</v>
      </c>
    </row>
    <row r="530" spans="1:20" x14ac:dyDescent="0.25">
      <c r="A530" s="6" t="str">
        <f t="shared" si="27"/>
        <v>61989100</v>
      </c>
      <c r="B530" s="6" t="s">
        <v>207</v>
      </c>
      <c r="C530" s="6">
        <v>27680</v>
      </c>
      <c r="D530" s="6" t="s">
        <v>545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17.134399999999999</v>
      </c>
      <c r="L530" s="6">
        <v>0</v>
      </c>
      <c r="M530" s="6">
        <v>4.0999999999999996</v>
      </c>
      <c r="N530" s="6">
        <v>3.69</v>
      </c>
      <c r="O530" s="6">
        <v>0</v>
      </c>
      <c r="P530" s="6"/>
      <c r="Q530" s="6">
        <v>0</v>
      </c>
      <c r="R530" s="6">
        <v>0</v>
      </c>
      <c r="S530" s="6">
        <v>71.983000000000004</v>
      </c>
      <c r="T530" s="9">
        <f t="shared" si="28"/>
        <v>75.673000000000002</v>
      </c>
    </row>
    <row r="531" spans="1:20" x14ac:dyDescent="0.25">
      <c r="A531" s="6" t="str">
        <f t="shared" si="27"/>
        <v>61989100</v>
      </c>
      <c r="B531" s="6" t="s">
        <v>207</v>
      </c>
      <c r="C531" s="6">
        <v>27690</v>
      </c>
      <c r="D531" s="6" t="s">
        <v>546</v>
      </c>
      <c r="E531" s="6">
        <v>16</v>
      </c>
      <c r="F531" s="6">
        <v>113.4683455644</v>
      </c>
      <c r="G531" s="6">
        <v>107.2791139667</v>
      </c>
      <c r="H531" s="6">
        <v>0</v>
      </c>
      <c r="I531" s="6">
        <v>0</v>
      </c>
      <c r="J531" s="6">
        <v>0</v>
      </c>
      <c r="K531" s="6">
        <v>17.134399999999999</v>
      </c>
      <c r="L531" s="6">
        <v>0</v>
      </c>
      <c r="M531" s="6">
        <v>194.654</v>
      </c>
      <c r="N531" s="6">
        <v>175.18899999999999</v>
      </c>
      <c r="O531" s="6">
        <v>0</v>
      </c>
      <c r="P531" s="6">
        <v>0</v>
      </c>
      <c r="Q531" s="6">
        <v>70.719451336999995</v>
      </c>
      <c r="R531" s="6">
        <v>70.719451336999995</v>
      </c>
      <c r="S531" s="6">
        <v>1287.28</v>
      </c>
      <c r="T531" s="9">
        <f t="shared" si="28"/>
        <v>1640.4675653037</v>
      </c>
    </row>
    <row r="532" spans="1:20" x14ac:dyDescent="0.25">
      <c r="A532" s="6" t="str">
        <f t="shared" si="27"/>
        <v>61989100</v>
      </c>
      <c r="B532" s="6" t="s">
        <v>207</v>
      </c>
      <c r="C532" s="6">
        <v>27700</v>
      </c>
      <c r="D532" s="6" t="s">
        <v>547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/>
      <c r="Q532" s="6">
        <v>0</v>
      </c>
      <c r="R532" s="6">
        <v>0</v>
      </c>
      <c r="S532" s="6">
        <v>0</v>
      </c>
      <c r="T532" s="9">
        <f t="shared" si="28"/>
        <v>0</v>
      </c>
    </row>
    <row r="533" spans="1:20" x14ac:dyDescent="0.25">
      <c r="A533" s="6" t="str">
        <f t="shared" si="27"/>
        <v>61989100</v>
      </c>
      <c r="B533" s="6" t="s">
        <v>207</v>
      </c>
      <c r="C533" s="6">
        <v>27710</v>
      </c>
      <c r="D533" s="6" t="s">
        <v>548</v>
      </c>
      <c r="E533" s="6">
        <v>59</v>
      </c>
      <c r="F533" s="6">
        <v>676.12260810183</v>
      </c>
      <c r="G533" s="6">
        <v>752.61131036083998</v>
      </c>
      <c r="H533" s="6">
        <v>0</v>
      </c>
      <c r="I533" s="6">
        <v>0</v>
      </c>
      <c r="J533" s="6">
        <v>0</v>
      </c>
      <c r="K533" s="6">
        <v>17.134399999999999</v>
      </c>
      <c r="L533" s="6">
        <v>0</v>
      </c>
      <c r="M533" s="6">
        <v>40.594999999999999</v>
      </c>
      <c r="N533" s="6">
        <v>36.535499999999999</v>
      </c>
      <c r="O533" s="6">
        <v>0</v>
      </c>
      <c r="P533" s="6">
        <v>0</v>
      </c>
      <c r="Q533" s="6">
        <v>9.7142103485</v>
      </c>
      <c r="R533" s="6">
        <v>9.7142103485</v>
      </c>
      <c r="S533" s="6">
        <v>106.78</v>
      </c>
      <c r="T533" s="9">
        <f t="shared" si="28"/>
        <v>905.64102070933995</v>
      </c>
    </row>
    <row r="534" spans="1:20" x14ac:dyDescent="0.25">
      <c r="A534" s="6" t="str">
        <f t="shared" si="27"/>
        <v>61989100</v>
      </c>
      <c r="B534" s="6" t="s">
        <v>207</v>
      </c>
      <c r="C534" s="6">
        <v>27720</v>
      </c>
      <c r="D534" s="6" t="s">
        <v>549</v>
      </c>
      <c r="E534" s="6">
        <v>3</v>
      </c>
      <c r="F534" s="6">
        <v>36.823529411765001</v>
      </c>
      <c r="G534" s="6">
        <v>37.357979233824999</v>
      </c>
      <c r="H534" s="6">
        <v>0</v>
      </c>
      <c r="I534" s="6">
        <v>0</v>
      </c>
      <c r="J534" s="6">
        <v>0</v>
      </c>
      <c r="K534" s="6">
        <v>17.134399999999999</v>
      </c>
      <c r="L534" s="6">
        <v>0</v>
      </c>
      <c r="M534" s="6">
        <v>3.456</v>
      </c>
      <c r="N534" s="6">
        <v>3.1103999999999998</v>
      </c>
      <c r="O534" s="6">
        <v>0</v>
      </c>
      <c r="P534" s="6"/>
      <c r="Q534" s="6">
        <v>0</v>
      </c>
      <c r="R534" s="6">
        <v>0</v>
      </c>
      <c r="S534" s="6">
        <v>0</v>
      </c>
      <c r="T534" s="9">
        <f t="shared" si="28"/>
        <v>40.468379233824997</v>
      </c>
    </row>
    <row r="535" spans="1:20" x14ac:dyDescent="0.25">
      <c r="A535" s="6" t="str">
        <f t="shared" si="27"/>
        <v>61989100</v>
      </c>
      <c r="B535" s="6" t="s">
        <v>207</v>
      </c>
      <c r="C535" s="6">
        <v>27730</v>
      </c>
      <c r="D535" s="6" t="s">
        <v>550</v>
      </c>
      <c r="E535" s="6">
        <v>192</v>
      </c>
      <c r="F535" s="6">
        <v>1463.3284429808</v>
      </c>
      <c r="G535" s="6">
        <v>1140.8088907038</v>
      </c>
      <c r="H535" s="6">
        <v>0</v>
      </c>
      <c r="I535" s="6">
        <v>0</v>
      </c>
      <c r="J535" s="6">
        <v>0</v>
      </c>
      <c r="K535" s="6">
        <v>17.134399999999999</v>
      </c>
      <c r="L535" s="6">
        <v>0</v>
      </c>
      <c r="M535" s="6">
        <v>71.929000000000002</v>
      </c>
      <c r="N535" s="6">
        <v>64.736099999999993</v>
      </c>
      <c r="O535" s="6">
        <v>60</v>
      </c>
      <c r="P535" s="6">
        <v>0</v>
      </c>
      <c r="Q535" s="6">
        <v>298.21603221420003</v>
      </c>
      <c r="R535" s="6">
        <v>298.21603221420003</v>
      </c>
      <c r="S535" s="6">
        <v>473.10399999999998</v>
      </c>
      <c r="T535" s="9">
        <f t="shared" si="28"/>
        <v>1976.865022918</v>
      </c>
    </row>
    <row r="536" spans="1:20" x14ac:dyDescent="0.25">
      <c r="A536" s="6" t="str">
        <f t="shared" si="27"/>
        <v>61989100</v>
      </c>
      <c r="B536" s="6" t="s">
        <v>207</v>
      </c>
      <c r="C536" s="6">
        <v>27740</v>
      </c>
      <c r="D536" s="6" t="s">
        <v>551</v>
      </c>
      <c r="E536" s="6">
        <v>424</v>
      </c>
      <c r="F536" s="6">
        <v>5052.1834771080003</v>
      </c>
      <c r="G536" s="6">
        <v>4086.5114261577</v>
      </c>
      <c r="H536" s="6">
        <v>0</v>
      </c>
      <c r="I536" s="6">
        <v>0</v>
      </c>
      <c r="J536" s="6">
        <v>0</v>
      </c>
      <c r="K536" s="6">
        <v>17.134399999999999</v>
      </c>
      <c r="L536" s="6">
        <v>0</v>
      </c>
      <c r="M536" s="6">
        <v>189.98</v>
      </c>
      <c r="N536" s="6">
        <v>170.982</v>
      </c>
      <c r="O536" s="6">
        <v>50</v>
      </c>
      <c r="P536" s="6">
        <v>0</v>
      </c>
      <c r="Q536" s="6">
        <v>343.61718373769997</v>
      </c>
      <c r="R536" s="6">
        <v>343.61718373769997</v>
      </c>
      <c r="S536" s="6">
        <v>358.714</v>
      </c>
      <c r="T536" s="9">
        <f t="shared" si="28"/>
        <v>4959.8246098953996</v>
      </c>
    </row>
    <row r="537" spans="1:20" x14ac:dyDescent="0.25">
      <c r="A537" s="6" t="str">
        <f t="shared" si="27"/>
        <v>61989100</v>
      </c>
      <c r="B537" s="6" t="s">
        <v>207</v>
      </c>
      <c r="C537" s="6">
        <v>27750</v>
      </c>
      <c r="D537" s="6" t="s">
        <v>552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17.3424218432</v>
      </c>
      <c r="R537" s="6">
        <v>17.3424218432</v>
      </c>
      <c r="S537" s="6">
        <v>0</v>
      </c>
      <c r="T537" s="9">
        <f t="shared" si="28"/>
        <v>17.3424218432</v>
      </c>
    </row>
    <row r="538" spans="1:20" x14ac:dyDescent="0.25">
      <c r="A538" s="6" t="str">
        <f t="shared" si="27"/>
        <v>61989100</v>
      </c>
      <c r="B538" s="6" t="s">
        <v>207</v>
      </c>
      <c r="C538" s="6">
        <v>27760</v>
      </c>
      <c r="D538" s="6" t="s">
        <v>553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/>
      <c r="Q538" s="6">
        <v>0</v>
      </c>
      <c r="R538" s="6">
        <v>0</v>
      </c>
      <c r="S538" s="6">
        <v>0</v>
      </c>
      <c r="T538" s="9">
        <f t="shared" si="28"/>
        <v>0</v>
      </c>
    </row>
    <row r="539" spans="1:20" x14ac:dyDescent="0.25">
      <c r="A539" s="6" t="str">
        <f t="shared" si="27"/>
        <v>61989100</v>
      </c>
      <c r="B539" s="6" t="s">
        <v>207</v>
      </c>
      <c r="C539" s="6">
        <v>27830</v>
      </c>
      <c r="D539" s="6" t="s">
        <v>554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/>
      <c r="Q539" s="6">
        <v>0</v>
      </c>
      <c r="R539" s="6">
        <v>0</v>
      </c>
      <c r="S539" s="6">
        <v>0</v>
      </c>
      <c r="T539" s="9">
        <f t="shared" si="28"/>
        <v>0</v>
      </c>
    </row>
    <row r="540" spans="1:20" x14ac:dyDescent="0.25">
      <c r="A540" s="6" t="str">
        <f t="shared" si="27"/>
        <v>61989100</v>
      </c>
      <c r="B540" s="6" t="s">
        <v>207</v>
      </c>
      <c r="C540" s="6" t="s">
        <v>555</v>
      </c>
      <c r="D540" s="6" t="s">
        <v>257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/>
      <c r="Q540" s="6">
        <v>0</v>
      </c>
      <c r="R540" s="6">
        <v>0</v>
      </c>
      <c r="S540" s="6">
        <v>0</v>
      </c>
      <c r="T540" s="9">
        <f t="shared" si="28"/>
        <v>0</v>
      </c>
    </row>
    <row r="541" spans="1:20" x14ac:dyDescent="0.25">
      <c r="A541" s="6" t="str">
        <f t="shared" ref="A541:A550" si="29">"61384399"</f>
        <v>61384399</v>
      </c>
      <c r="B541" s="6" t="s">
        <v>208</v>
      </c>
      <c r="C541" s="6"/>
      <c r="D541" s="6" t="s">
        <v>246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/>
      <c r="Q541" s="6">
        <v>0</v>
      </c>
      <c r="R541" s="6">
        <v>0</v>
      </c>
      <c r="S541" s="6">
        <v>0</v>
      </c>
      <c r="T541" s="9">
        <f t="shared" si="28"/>
        <v>0</v>
      </c>
    </row>
    <row r="542" spans="1:20" x14ac:dyDescent="0.25">
      <c r="A542" s="6" t="str">
        <f t="shared" si="29"/>
        <v>61384399</v>
      </c>
      <c r="B542" s="6" t="s">
        <v>208</v>
      </c>
      <c r="C542" s="6"/>
      <c r="D542" s="6"/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/>
      <c r="Q542" s="6">
        <v>0</v>
      </c>
      <c r="R542" s="6">
        <v>0</v>
      </c>
      <c r="S542" s="6">
        <v>0</v>
      </c>
      <c r="T542" s="9">
        <f t="shared" si="28"/>
        <v>0</v>
      </c>
    </row>
    <row r="543" spans="1:20" x14ac:dyDescent="0.25">
      <c r="A543" s="6" t="str">
        <f t="shared" si="29"/>
        <v>61384399</v>
      </c>
      <c r="B543" s="6" t="s">
        <v>208</v>
      </c>
      <c r="C543" s="6">
        <v>31110</v>
      </c>
      <c r="D543" s="6" t="s">
        <v>556</v>
      </c>
      <c r="E543" s="6">
        <v>674</v>
      </c>
      <c r="F543" s="6">
        <v>4793.4291408578001</v>
      </c>
      <c r="G543" s="6">
        <v>3867.4291183600999</v>
      </c>
      <c r="H543" s="6">
        <v>0</v>
      </c>
      <c r="I543" s="6">
        <v>0</v>
      </c>
      <c r="J543" s="6">
        <v>0</v>
      </c>
      <c r="K543" s="6">
        <v>7.8</v>
      </c>
      <c r="L543" s="6">
        <v>1</v>
      </c>
      <c r="M543" s="6">
        <v>465.88400000000001</v>
      </c>
      <c r="N543" s="6">
        <v>517.72299999999996</v>
      </c>
      <c r="O543" s="6">
        <v>0</v>
      </c>
      <c r="P543" s="6"/>
      <c r="Q543" s="6">
        <v>0</v>
      </c>
      <c r="R543" s="6">
        <v>0</v>
      </c>
      <c r="S543" s="6">
        <v>46.996000000000002</v>
      </c>
      <c r="T543" s="9">
        <f t="shared" si="28"/>
        <v>4432.1481183600999</v>
      </c>
    </row>
    <row r="544" spans="1:20" x14ac:dyDescent="0.25">
      <c r="A544" s="6" t="str">
        <f t="shared" si="29"/>
        <v>61384399</v>
      </c>
      <c r="B544" s="6" t="s">
        <v>208</v>
      </c>
      <c r="C544" s="6">
        <v>31120</v>
      </c>
      <c r="D544" s="6" t="s">
        <v>557</v>
      </c>
      <c r="E544" s="6">
        <v>485</v>
      </c>
      <c r="F544" s="6">
        <v>4697.5040399794998</v>
      </c>
      <c r="G544" s="6">
        <v>3952.2398542204</v>
      </c>
      <c r="H544" s="6">
        <v>0</v>
      </c>
      <c r="I544" s="6">
        <v>0</v>
      </c>
      <c r="J544" s="6">
        <v>0</v>
      </c>
      <c r="K544" s="6">
        <v>7.8</v>
      </c>
      <c r="L544" s="6">
        <v>0</v>
      </c>
      <c r="M544" s="6">
        <v>479.483</v>
      </c>
      <c r="N544" s="6">
        <v>431.53500000000003</v>
      </c>
      <c r="O544" s="6">
        <v>0</v>
      </c>
      <c r="P544" s="6">
        <v>0</v>
      </c>
      <c r="Q544" s="6">
        <v>19.878342018400001</v>
      </c>
      <c r="R544" s="6">
        <v>19.878342018400001</v>
      </c>
      <c r="S544" s="6">
        <v>40.690300000000001</v>
      </c>
      <c r="T544" s="9">
        <f t="shared" si="28"/>
        <v>4444.3434962388001</v>
      </c>
    </row>
    <row r="545" spans="1:20" x14ac:dyDescent="0.25">
      <c r="A545" s="6" t="str">
        <f t="shared" si="29"/>
        <v>61384399</v>
      </c>
      <c r="B545" s="6" t="s">
        <v>208</v>
      </c>
      <c r="C545" s="6">
        <v>31130</v>
      </c>
      <c r="D545" s="6" t="s">
        <v>558</v>
      </c>
      <c r="E545" s="6">
        <v>516</v>
      </c>
      <c r="F545" s="6">
        <v>4582.1343882254996</v>
      </c>
      <c r="G545" s="6">
        <v>3164.2528701216002</v>
      </c>
      <c r="H545" s="6">
        <v>0</v>
      </c>
      <c r="I545" s="6">
        <v>0</v>
      </c>
      <c r="J545" s="6">
        <v>0</v>
      </c>
      <c r="K545" s="6">
        <v>7.8</v>
      </c>
      <c r="L545" s="6">
        <v>0</v>
      </c>
      <c r="M545" s="6">
        <v>419.834</v>
      </c>
      <c r="N545" s="6">
        <v>377.851</v>
      </c>
      <c r="O545" s="6">
        <v>0</v>
      </c>
      <c r="P545" s="6">
        <v>0</v>
      </c>
      <c r="Q545" s="6">
        <v>160.37650011139999</v>
      </c>
      <c r="R545" s="6">
        <v>160.37650011139999</v>
      </c>
      <c r="S545" s="6">
        <v>382.84199999999998</v>
      </c>
      <c r="T545" s="9">
        <f t="shared" si="28"/>
        <v>4085.3223702330001</v>
      </c>
    </row>
    <row r="546" spans="1:20" x14ac:dyDescent="0.25">
      <c r="A546" s="6" t="str">
        <f t="shared" si="29"/>
        <v>61384399</v>
      </c>
      <c r="B546" s="6" t="s">
        <v>208</v>
      </c>
      <c r="C546" s="6">
        <v>31140</v>
      </c>
      <c r="D546" s="6" t="s">
        <v>559</v>
      </c>
      <c r="E546" s="6">
        <v>954</v>
      </c>
      <c r="F546" s="6">
        <v>9474.4292861490994</v>
      </c>
      <c r="G546" s="6">
        <v>6744.9830732149003</v>
      </c>
      <c r="H546" s="6">
        <v>0</v>
      </c>
      <c r="I546" s="6">
        <v>0</v>
      </c>
      <c r="J546" s="6">
        <v>0</v>
      </c>
      <c r="K546" s="6">
        <v>7.8</v>
      </c>
      <c r="L546" s="6">
        <v>0</v>
      </c>
      <c r="M546" s="6">
        <v>654.48099999999999</v>
      </c>
      <c r="N546" s="6">
        <v>589.03300000000002</v>
      </c>
      <c r="O546" s="6">
        <v>0</v>
      </c>
      <c r="P546" s="6">
        <v>0</v>
      </c>
      <c r="Q546" s="6">
        <v>69.656000941000002</v>
      </c>
      <c r="R546" s="6">
        <v>69.656000941000002</v>
      </c>
      <c r="S546" s="6">
        <v>349.13600000000002</v>
      </c>
      <c r="T546" s="9">
        <f t="shared" si="28"/>
        <v>7752.8080741559006</v>
      </c>
    </row>
    <row r="547" spans="1:20" x14ac:dyDescent="0.25">
      <c r="A547" s="6" t="str">
        <f t="shared" si="29"/>
        <v>61384399</v>
      </c>
      <c r="B547" s="6" t="s">
        <v>208</v>
      </c>
      <c r="C547" s="6">
        <v>31150</v>
      </c>
      <c r="D547" s="6" t="s">
        <v>560</v>
      </c>
      <c r="E547" s="6">
        <v>430</v>
      </c>
      <c r="F547" s="6">
        <v>4541.2672815235001</v>
      </c>
      <c r="G547" s="6">
        <v>4019.4742789242</v>
      </c>
      <c r="H547" s="6">
        <v>0</v>
      </c>
      <c r="I547" s="6">
        <v>0</v>
      </c>
      <c r="J547" s="6">
        <v>0</v>
      </c>
      <c r="K547" s="6">
        <v>7.8</v>
      </c>
      <c r="L547" s="6">
        <v>0</v>
      </c>
      <c r="M547" s="6">
        <v>424.30700000000002</v>
      </c>
      <c r="N547" s="6">
        <v>381.87599999999998</v>
      </c>
      <c r="O547" s="6">
        <v>0</v>
      </c>
      <c r="P547" s="6"/>
      <c r="Q547" s="6">
        <v>0</v>
      </c>
      <c r="R547" s="6">
        <v>0</v>
      </c>
      <c r="S547" s="6">
        <v>39.283000000000001</v>
      </c>
      <c r="T547" s="9">
        <f t="shared" si="28"/>
        <v>4440.6332789242006</v>
      </c>
    </row>
    <row r="548" spans="1:20" x14ac:dyDescent="0.25">
      <c r="A548" s="6" t="str">
        <f t="shared" si="29"/>
        <v>61384399</v>
      </c>
      <c r="B548" s="6" t="s">
        <v>208</v>
      </c>
      <c r="C548" s="6">
        <v>31160</v>
      </c>
      <c r="D548" s="6" t="s">
        <v>561</v>
      </c>
      <c r="E548" s="6">
        <v>158</v>
      </c>
      <c r="F548" s="6">
        <v>1797.9003801163999</v>
      </c>
      <c r="G548" s="6">
        <v>1198.2000835302999</v>
      </c>
      <c r="H548" s="6">
        <v>0</v>
      </c>
      <c r="I548" s="6">
        <v>0</v>
      </c>
      <c r="J548" s="6">
        <v>0</v>
      </c>
      <c r="K548" s="6">
        <v>7.8</v>
      </c>
      <c r="L548" s="6">
        <v>0</v>
      </c>
      <c r="M548" s="6">
        <v>133.11600000000001</v>
      </c>
      <c r="N548" s="6">
        <v>119.804</v>
      </c>
      <c r="O548" s="6">
        <v>0</v>
      </c>
      <c r="P548" s="6"/>
      <c r="Q548" s="6">
        <v>0</v>
      </c>
      <c r="R548" s="6">
        <v>0</v>
      </c>
      <c r="S548" s="6">
        <v>5.4446700000000003</v>
      </c>
      <c r="T548" s="9">
        <f t="shared" si="28"/>
        <v>1323.4487535303001</v>
      </c>
    </row>
    <row r="549" spans="1:20" x14ac:dyDescent="0.25">
      <c r="A549" s="6" t="str">
        <f t="shared" si="29"/>
        <v>61384399</v>
      </c>
      <c r="B549" s="6" t="s">
        <v>208</v>
      </c>
      <c r="C549" s="6">
        <v>31810</v>
      </c>
      <c r="D549" s="6" t="s">
        <v>258</v>
      </c>
      <c r="E549" s="6">
        <v>2</v>
      </c>
      <c r="F549" s="6">
        <v>4.268000125885</v>
      </c>
      <c r="G549" s="6">
        <v>4.3079998493194998</v>
      </c>
      <c r="H549" s="6">
        <v>0</v>
      </c>
      <c r="I549" s="6">
        <v>0</v>
      </c>
      <c r="J549" s="6">
        <v>0</v>
      </c>
      <c r="K549" s="6">
        <v>7.8</v>
      </c>
      <c r="L549" s="6">
        <v>0</v>
      </c>
      <c r="M549" s="6">
        <v>0.43099999999999999</v>
      </c>
      <c r="N549" s="6">
        <v>0.38790000000000002</v>
      </c>
      <c r="O549" s="6">
        <v>0</v>
      </c>
      <c r="P549" s="6">
        <v>0</v>
      </c>
      <c r="Q549" s="6">
        <v>23.559516466200002</v>
      </c>
      <c r="R549" s="6">
        <v>23.559516466200002</v>
      </c>
      <c r="S549" s="6">
        <v>14.968999999999999</v>
      </c>
      <c r="T549" s="9">
        <f t="shared" si="28"/>
        <v>43.224416315519498</v>
      </c>
    </row>
    <row r="550" spans="1:20" x14ac:dyDescent="0.25">
      <c r="A550" s="6" t="str">
        <f t="shared" si="29"/>
        <v>61384399</v>
      </c>
      <c r="B550" s="6" t="s">
        <v>208</v>
      </c>
      <c r="C550" s="6" t="s">
        <v>562</v>
      </c>
      <c r="D550" s="6" t="s">
        <v>257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/>
      <c r="Q550" s="6">
        <v>0</v>
      </c>
      <c r="R550" s="6">
        <v>0</v>
      </c>
      <c r="S550" s="6">
        <v>0</v>
      </c>
      <c r="T550" s="9">
        <f t="shared" si="28"/>
        <v>0</v>
      </c>
    </row>
    <row r="551" spans="1:20" x14ac:dyDescent="0.25">
      <c r="A551" s="6" t="str">
        <f>"27266150"</f>
        <v>27266150</v>
      </c>
      <c r="B551" s="6" t="s">
        <v>209</v>
      </c>
      <c r="C551" s="6"/>
      <c r="D551" s="6"/>
      <c r="E551" s="6">
        <v>28</v>
      </c>
      <c r="F551" s="6">
        <v>175.71642071881001</v>
      </c>
      <c r="G551" s="6">
        <v>92.061997883949005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/>
      <c r="Q551" s="6">
        <v>0</v>
      </c>
      <c r="R551" s="6">
        <v>0</v>
      </c>
      <c r="S551" s="6">
        <v>0</v>
      </c>
      <c r="T551" s="9">
        <f t="shared" si="28"/>
        <v>92.061997883949005</v>
      </c>
    </row>
    <row r="552" spans="1:20" x14ac:dyDescent="0.25">
      <c r="A552" s="6" t="str">
        <f>"26033909"</f>
        <v>26033909</v>
      </c>
      <c r="B552" s="6" t="s">
        <v>210</v>
      </c>
      <c r="C552" s="6"/>
      <c r="D552" s="6"/>
      <c r="E552" s="6">
        <v>22</v>
      </c>
      <c r="F552" s="6">
        <v>580.47609116911997</v>
      </c>
      <c r="G552" s="6">
        <v>444.05542334498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/>
      <c r="Q552" s="6">
        <v>0</v>
      </c>
      <c r="R552" s="6">
        <v>0</v>
      </c>
      <c r="S552" s="6">
        <v>0</v>
      </c>
      <c r="T552" s="9">
        <f t="shared" si="28"/>
        <v>444.05542334498</v>
      </c>
    </row>
    <row r="553" spans="1:20" x14ac:dyDescent="0.25">
      <c r="A553" s="12" t="s">
        <v>599</v>
      </c>
      <c r="B553" s="6" t="s">
        <v>211</v>
      </c>
      <c r="C553" s="6"/>
      <c r="D553" s="6"/>
      <c r="E553" s="6">
        <v>175</v>
      </c>
      <c r="F553" s="6">
        <v>1630.0220245221999</v>
      </c>
      <c r="G553" s="6">
        <v>1261.6318364398001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29.797062058400002</v>
      </c>
      <c r="R553" s="6">
        <v>29.797062058400002</v>
      </c>
      <c r="S553" s="6">
        <v>46.063000000000002</v>
      </c>
      <c r="T553" s="9">
        <f t="shared" si="28"/>
        <v>1337.4918984982</v>
      </c>
    </row>
    <row r="554" spans="1:20" x14ac:dyDescent="0.25">
      <c r="A554" s="6" t="str">
        <f>"25619161"</f>
        <v>25619161</v>
      </c>
      <c r="B554" s="6" t="s">
        <v>212</v>
      </c>
      <c r="C554" s="6"/>
      <c r="D554" s="6"/>
      <c r="E554" s="6">
        <v>38</v>
      </c>
      <c r="F554" s="6">
        <v>339.53699961305</v>
      </c>
      <c r="G554" s="6">
        <v>229.77636239809999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/>
      <c r="Q554" s="6">
        <v>0</v>
      </c>
      <c r="R554" s="6">
        <v>0</v>
      </c>
      <c r="S554" s="6">
        <v>0</v>
      </c>
      <c r="T554" s="9">
        <f t="shared" si="28"/>
        <v>229.77636239809999</v>
      </c>
    </row>
    <row r="555" spans="1:20" x14ac:dyDescent="0.25">
      <c r="A555" s="6" t="str">
        <f t="shared" ref="A555:A569" si="30">"60461373"</f>
        <v>60461373</v>
      </c>
      <c r="B555" s="6" t="s">
        <v>213</v>
      </c>
      <c r="C555" s="6"/>
      <c r="D555" s="6" t="s">
        <v>246</v>
      </c>
      <c r="E555" s="6">
        <v>1</v>
      </c>
      <c r="F555" s="6">
        <v>1.4340000152587999</v>
      </c>
      <c r="G555" s="6">
        <v>1.4659999608994001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/>
      <c r="Q555" s="6">
        <v>0</v>
      </c>
      <c r="R555" s="6">
        <v>0</v>
      </c>
      <c r="S555" s="6">
        <v>0</v>
      </c>
      <c r="T555" s="9">
        <f t="shared" si="28"/>
        <v>1.4659999608994001</v>
      </c>
    </row>
    <row r="556" spans="1:20" x14ac:dyDescent="0.25">
      <c r="A556" s="6" t="str">
        <f t="shared" si="30"/>
        <v>60461373</v>
      </c>
      <c r="B556" s="6" t="s">
        <v>213</v>
      </c>
      <c r="C556" s="6"/>
      <c r="D556" s="6"/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21.131799999999998</v>
      </c>
      <c r="L556" s="6">
        <v>0</v>
      </c>
      <c r="M556" s="6">
        <v>0.14699999999999999</v>
      </c>
      <c r="N556" s="6">
        <v>0.1323</v>
      </c>
      <c r="O556" s="6">
        <v>0</v>
      </c>
      <c r="P556" s="6"/>
      <c r="Q556" s="6">
        <v>0</v>
      </c>
      <c r="R556" s="6">
        <v>0</v>
      </c>
      <c r="S556" s="6">
        <v>0</v>
      </c>
      <c r="T556" s="9">
        <f t="shared" si="28"/>
        <v>0.1323</v>
      </c>
    </row>
    <row r="557" spans="1:20" x14ac:dyDescent="0.25">
      <c r="A557" s="6" t="str">
        <f t="shared" si="30"/>
        <v>60461373</v>
      </c>
      <c r="B557" s="6" t="s">
        <v>213</v>
      </c>
      <c r="C557" s="6">
        <v>22310</v>
      </c>
      <c r="D557" s="6" t="s">
        <v>563</v>
      </c>
      <c r="E557" s="6">
        <v>1092</v>
      </c>
      <c r="F557" s="6">
        <v>27829.830213108999</v>
      </c>
      <c r="G557" s="6">
        <v>30632.768375247</v>
      </c>
      <c r="H557" s="6">
        <v>0</v>
      </c>
      <c r="I557" s="6">
        <v>0</v>
      </c>
      <c r="J557" s="6">
        <v>0</v>
      </c>
      <c r="K557" s="6">
        <v>21.131799999999998</v>
      </c>
      <c r="L557" s="6">
        <v>1</v>
      </c>
      <c r="M557" s="6">
        <v>3238.94</v>
      </c>
      <c r="N557" s="6">
        <v>3196.37</v>
      </c>
      <c r="O557" s="6">
        <v>130</v>
      </c>
      <c r="P557" s="6">
        <v>77.5</v>
      </c>
      <c r="Q557" s="6">
        <v>913.36073341919996</v>
      </c>
      <c r="R557" s="6">
        <v>990.86073341919996</v>
      </c>
      <c r="S557" s="6">
        <v>3814.18</v>
      </c>
      <c r="T557" s="9">
        <f t="shared" si="28"/>
        <v>38634.179108666198</v>
      </c>
    </row>
    <row r="558" spans="1:20" x14ac:dyDescent="0.25">
      <c r="A558" s="6" t="str">
        <f t="shared" si="30"/>
        <v>60461373</v>
      </c>
      <c r="B558" s="6" t="s">
        <v>213</v>
      </c>
      <c r="C558" s="6">
        <v>22320</v>
      </c>
      <c r="D558" s="6" t="s">
        <v>564</v>
      </c>
      <c r="E558" s="6">
        <v>251</v>
      </c>
      <c r="F558" s="6">
        <v>3471.5801614477</v>
      </c>
      <c r="G558" s="6">
        <v>3644.5654272376</v>
      </c>
      <c r="H558" s="6">
        <v>0</v>
      </c>
      <c r="I558" s="6">
        <v>0</v>
      </c>
      <c r="J558" s="6">
        <v>0</v>
      </c>
      <c r="K558" s="6">
        <v>21.131799999999998</v>
      </c>
      <c r="L558" s="6">
        <v>2</v>
      </c>
      <c r="M558" s="6">
        <v>1072.3399999999999</v>
      </c>
      <c r="N558" s="6">
        <v>1453.52</v>
      </c>
      <c r="O558" s="6">
        <v>80</v>
      </c>
      <c r="P558" s="6">
        <v>66.670000076294002</v>
      </c>
      <c r="Q558" s="6">
        <v>550.17197220059995</v>
      </c>
      <c r="R558" s="6">
        <v>616.84197227690004</v>
      </c>
      <c r="S558" s="6">
        <v>2549.2399999999998</v>
      </c>
      <c r="T558" s="9">
        <f t="shared" si="28"/>
        <v>8264.1673995144993</v>
      </c>
    </row>
    <row r="559" spans="1:20" x14ac:dyDescent="0.25">
      <c r="A559" s="6" t="str">
        <f t="shared" si="30"/>
        <v>60461373</v>
      </c>
      <c r="B559" s="6" t="s">
        <v>213</v>
      </c>
      <c r="C559" s="6">
        <v>22330</v>
      </c>
      <c r="D559" s="6" t="s">
        <v>565</v>
      </c>
      <c r="E559" s="6">
        <v>764</v>
      </c>
      <c r="F559" s="6">
        <v>16130.998567140001</v>
      </c>
      <c r="G559" s="6">
        <v>17154.778274478002</v>
      </c>
      <c r="H559" s="6">
        <v>0</v>
      </c>
      <c r="I559" s="6">
        <v>0</v>
      </c>
      <c r="J559" s="6">
        <v>0</v>
      </c>
      <c r="K559" s="6">
        <v>21.131799999999998</v>
      </c>
      <c r="L559" s="6">
        <v>4</v>
      </c>
      <c r="M559" s="6">
        <v>2461.69</v>
      </c>
      <c r="N559" s="6">
        <v>3071.19</v>
      </c>
      <c r="O559" s="6">
        <v>10</v>
      </c>
      <c r="P559" s="6">
        <v>10</v>
      </c>
      <c r="Q559" s="6">
        <v>782.45407985990005</v>
      </c>
      <c r="R559" s="6">
        <v>792.45407985990005</v>
      </c>
      <c r="S559" s="6">
        <v>2273.69</v>
      </c>
      <c r="T559" s="9">
        <f t="shared" si="28"/>
        <v>23292.1123543379</v>
      </c>
    </row>
    <row r="560" spans="1:20" x14ac:dyDescent="0.25">
      <c r="A560" s="6" t="str">
        <f t="shared" si="30"/>
        <v>60461373</v>
      </c>
      <c r="B560" s="6" t="s">
        <v>213</v>
      </c>
      <c r="C560" s="6">
        <v>22340</v>
      </c>
      <c r="D560" s="6" t="s">
        <v>566</v>
      </c>
      <c r="E560" s="6">
        <v>953</v>
      </c>
      <c r="F560" s="6">
        <v>20523.386178934001</v>
      </c>
      <c r="G560" s="6">
        <v>24837.097065219001</v>
      </c>
      <c r="H560" s="6">
        <v>0</v>
      </c>
      <c r="I560" s="6">
        <v>0</v>
      </c>
      <c r="J560" s="6">
        <v>0</v>
      </c>
      <c r="K560" s="6">
        <v>21.131799999999998</v>
      </c>
      <c r="L560" s="6">
        <v>0</v>
      </c>
      <c r="M560" s="6">
        <v>3026.56</v>
      </c>
      <c r="N560" s="6">
        <v>2723.9</v>
      </c>
      <c r="O560" s="6">
        <v>20</v>
      </c>
      <c r="P560" s="6">
        <v>7</v>
      </c>
      <c r="Q560" s="6">
        <v>290.58782071949997</v>
      </c>
      <c r="R560" s="6">
        <v>297.58782071949997</v>
      </c>
      <c r="S560" s="6">
        <v>2079.12</v>
      </c>
      <c r="T560" s="9">
        <f t="shared" si="28"/>
        <v>29937.7048859385</v>
      </c>
    </row>
    <row r="561" spans="1:20" x14ac:dyDescent="0.25">
      <c r="A561" s="6" t="str">
        <f t="shared" si="30"/>
        <v>60461373</v>
      </c>
      <c r="B561" s="6" t="s">
        <v>213</v>
      </c>
      <c r="C561" s="6">
        <v>22610</v>
      </c>
      <c r="D561" s="6" t="s">
        <v>540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/>
      <c r="Q561" s="6">
        <v>0</v>
      </c>
      <c r="R561" s="6">
        <v>0</v>
      </c>
      <c r="S561" s="6">
        <v>0</v>
      </c>
      <c r="T561" s="9">
        <f t="shared" si="28"/>
        <v>0</v>
      </c>
    </row>
    <row r="562" spans="1:20" x14ac:dyDescent="0.25">
      <c r="A562" s="6" t="str">
        <f t="shared" si="30"/>
        <v>60461373</v>
      </c>
      <c r="B562" s="6" t="s">
        <v>213</v>
      </c>
      <c r="C562" s="6">
        <v>22620</v>
      </c>
      <c r="D562" s="6" t="s">
        <v>270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/>
      <c r="Q562" s="6">
        <v>0</v>
      </c>
      <c r="R562" s="6">
        <v>0</v>
      </c>
      <c r="S562" s="6">
        <v>0</v>
      </c>
      <c r="T562" s="9">
        <f t="shared" si="28"/>
        <v>0</v>
      </c>
    </row>
    <row r="563" spans="1:20" x14ac:dyDescent="0.25">
      <c r="A563" s="6" t="str">
        <f t="shared" si="30"/>
        <v>60461373</v>
      </c>
      <c r="B563" s="6" t="s">
        <v>213</v>
      </c>
      <c r="C563" s="6">
        <v>22630</v>
      </c>
      <c r="D563" s="6" t="s">
        <v>541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/>
      <c r="Q563" s="6">
        <v>0</v>
      </c>
      <c r="R563" s="6">
        <v>0</v>
      </c>
      <c r="S563" s="6">
        <v>0</v>
      </c>
      <c r="T563" s="9">
        <f t="shared" si="28"/>
        <v>0</v>
      </c>
    </row>
    <row r="564" spans="1:20" x14ac:dyDescent="0.25">
      <c r="A564" s="6" t="str">
        <f t="shared" si="30"/>
        <v>60461373</v>
      </c>
      <c r="B564" s="6" t="s">
        <v>213</v>
      </c>
      <c r="C564" s="6">
        <v>22640</v>
      </c>
      <c r="D564" s="6" t="s">
        <v>567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/>
      <c r="Q564" s="6">
        <v>0</v>
      </c>
      <c r="R564" s="6">
        <v>0</v>
      </c>
      <c r="S564" s="6">
        <v>0</v>
      </c>
      <c r="T564" s="9">
        <f t="shared" si="28"/>
        <v>0</v>
      </c>
    </row>
    <row r="565" spans="1:20" x14ac:dyDescent="0.25">
      <c r="A565" s="6" t="str">
        <f t="shared" si="30"/>
        <v>60461373</v>
      </c>
      <c r="B565" s="6" t="s">
        <v>213</v>
      </c>
      <c r="C565" s="6">
        <v>22650</v>
      </c>
      <c r="D565" s="6" t="s">
        <v>568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/>
      <c r="Q565" s="6">
        <v>0</v>
      </c>
      <c r="R565" s="6">
        <v>0</v>
      </c>
      <c r="S565" s="6">
        <v>0</v>
      </c>
      <c r="T565" s="9">
        <f t="shared" si="28"/>
        <v>0</v>
      </c>
    </row>
    <row r="566" spans="1:20" x14ac:dyDescent="0.25">
      <c r="A566" s="6" t="str">
        <f t="shared" si="30"/>
        <v>60461373</v>
      </c>
      <c r="B566" s="6" t="s">
        <v>213</v>
      </c>
      <c r="C566" s="6">
        <v>22660</v>
      </c>
      <c r="D566" s="6" t="s">
        <v>295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/>
      <c r="Q566" s="6">
        <v>0</v>
      </c>
      <c r="R566" s="6">
        <v>0</v>
      </c>
      <c r="S566" s="6">
        <v>0</v>
      </c>
      <c r="T566" s="9">
        <f t="shared" si="28"/>
        <v>0</v>
      </c>
    </row>
    <row r="567" spans="1:20" x14ac:dyDescent="0.25">
      <c r="A567" s="6" t="str">
        <f t="shared" si="30"/>
        <v>60461373</v>
      </c>
      <c r="B567" s="6" t="s">
        <v>213</v>
      </c>
      <c r="C567" s="6">
        <v>22670</v>
      </c>
      <c r="D567" s="6" t="s">
        <v>350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/>
      <c r="Q567" s="6">
        <v>0</v>
      </c>
      <c r="R567" s="6">
        <v>0</v>
      </c>
      <c r="S567" s="6">
        <v>0</v>
      </c>
      <c r="T567" s="9">
        <f t="shared" si="28"/>
        <v>0</v>
      </c>
    </row>
    <row r="568" spans="1:20" x14ac:dyDescent="0.25">
      <c r="A568" s="6" t="str">
        <f t="shared" si="30"/>
        <v>60461373</v>
      </c>
      <c r="B568" s="6" t="s">
        <v>213</v>
      </c>
      <c r="C568" s="6">
        <v>22810</v>
      </c>
      <c r="D568" s="6" t="s">
        <v>258</v>
      </c>
      <c r="E568" s="6">
        <v>125</v>
      </c>
      <c r="F568" s="6">
        <v>1205.9600557007</v>
      </c>
      <c r="G568" s="6">
        <v>1382.9882447122</v>
      </c>
      <c r="H568" s="6">
        <v>0</v>
      </c>
      <c r="I568" s="6">
        <v>0</v>
      </c>
      <c r="J568" s="6">
        <v>0</v>
      </c>
      <c r="K568" s="6">
        <v>21.131799999999998</v>
      </c>
      <c r="L568" s="6">
        <v>0</v>
      </c>
      <c r="M568" s="6">
        <v>89.54</v>
      </c>
      <c r="N568" s="6">
        <v>80.585999999999999</v>
      </c>
      <c r="O568" s="6">
        <v>0</v>
      </c>
      <c r="P568" s="6"/>
      <c r="Q568" s="6">
        <v>0</v>
      </c>
      <c r="R568" s="6">
        <v>0</v>
      </c>
      <c r="S568" s="6">
        <v>8.8356700000000004</v>
      </c>
      <c r="T568" s="9">
        <f t="shared" si="28"/>
        <v>1472.4099147121999</v>
      </c>
    </row>
    <row r="569" spans="1:20" x14ac:dyDescent="0.25">
      <c r="A569" s="6" t="str">
        <f t="shared" si="30"/>
        <v>60461373</v>
      </c>
      <c r="B569" s="6" t="s">
        <v>213</v>
      </c>
      <c r="C569" s="6" t="s">
        <v>569</v>
      </c>
      <c r="D569" s="6" t="s">
        <v>257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/>
      <c r="Q569" s="6">
        <v>0</v>
      </c>
      <c r="R569" s="6">
        <v>0</v>
      </c>
      <c r="S569" s="6">
        <v>0</v>
      </c>
      <c r="T569" s="9">
        <f t="shared" si="28"/>
        <v>0</v>
      </c>
    </row>
    <row r="570" spans="1:20" x14ac:dyDescent="0.25">
      <c r="A570" s="6" t="str">
        <f>"71226401"</f>
        <v>71226401</v>
      </c>
      <c r="B570" s="6" t="s">
        <v>214</v>
      </c>
      <c r="C570" s="6"/>
      <c r="D570" s="6"/>
      <c r="E570" s="6">
        <v>98</v>
      </c>
      <c r="F570" s="6">
        <v>844.26862707517</v>
      </c>
      <c r="G570" s="6">
        <v>639.76009212779002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/>
      <c r="Q570" s="6">
        <v>0</v>
      </c>
      <c r="R570" s="6">
        <v>0</v>
      </c>
      <c r="S570" s="6">
        <v>0</v>
      </c>
      <c r="T570" s="9">
        <f t="shared" si="28"/>
        <v>639.76009212779002</v>
      </c>
    </row>
    <row r="571" spans="1:20" x14ac:dyDescent="0.25">
      <c r="A571" s="6" t="str">
        <f>"75081431"</f>
        <v>75081431</v>
      </c>
      <c r="B571" s="6" t="s">
        <v>215</v>
      </c>
      <c r="C571" s="6"/>
      <c r="D571" s="6"/>
      <c r="E571" s="6">
        <v>101</v>
      </c>
      <c r="F571" s="6">
        <v>1104.7425839122</v>
      </c>
      <c r="G571" s="6">
        <v>806.20213541239002</v>
      </c>
      <c r="H571" s="6">
        <v>0</v>
      </c>
      <c r="I571" s="6">
        <v>0</v>
      </c>
      <c r="J571" s="6">
        <v>0</v>
      </c>
      <c r="K571" s="6">
        <v>1</v>
      </c>
      <c r="L571" s="6">
        <v>0</v>
      </c>
      <c r="M571" s="6">
        <v>113.387</v>
      </c>
      <c r="N571" s="6">
        <v>102.048</v>
      </c>
      <c r="O571" s="6">
        <v>150</v>
      </c>
      <c r="P571" s="6">
        <v>150</v>
      </c>
      <c r="Q571" s="6">
        <v>13.415835765500001</v>
      </c>
      <c r="R571" s="6">
        <v>163.41583576549999</v>
      </c>
      <c r="S571" s="6">
        <v>166.53100000000001</v>
      </c>
      <c r="T571" s="9">
        <f t="shared" si="28"/>
        <v>1238.19697117789</v>
      </c>
    </row>
    <row r="572" spans="1:20" x14ac:dyDescent="0.25">
      <c r="A572" s="6" t="str">
        <f>"27132781"</f>
        <v>27132781</v>
      </c>
      <c r="B572" s="6" t="s">
        <v>216</v>
      </c>
      <c r="C572" s="6"/>
      <c r="D572" s="6"/>
      <c r="E572" s="6">
        <v>18</v>
      </c>
      <c r="F572" s="6">
        <v>127.29682395303</v>
      </c>
      <c r="G572" s="6">
        <v>109.39373961587999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/>
      <c r="Q572" s="6">
        <v>0</v>
      </c>
      <c r="R572" s="6">
        <v>0</v>
      </c>
      <c r="S572" s="6">
        <v>0</v>
      </c>
      <c r="T572" s="9">
        <f t="shared" si="28"/>
        <v>109.39373961587999</v>
      </c>
    </row>
    <row r="573" spans="1:20" x14ac:dyDescent="0.25">
      <c r="A573" s="6" t="str">
        <f>"60461071"</f>
        <v>60461071</v>
      </c>
      <c r="B573" s="6" t="s">
        <v>217</v>
      </c>
      <c r="C573" s="6"/>
      <c r="D573" s="6" t="s">
        <v>246</v>
      </c>
      <c r="E573" s="6">
        <v>80</v>
      </c>
      <c r="F573" s="6">
        <v>1293.6772518429</v>
      </c>
      <c r="G573" s="6">
        <v>1115.9388208036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/>
      <c r="Q573" s="6">
        <v>0</v>
      </c>
      <c r="R573" s="6">
        <v>0</v>
      </c>
      <c r="S573" s="6">
        <v>20.374700000000001</v>
      </c>
      <c r="T573" s="9">
        <f t="shared" si="28"/>
        <v>1136.3135208036001</v>
      </c>
    </row>
    <row r="574" spans="1:20" x14ac:dyDescent="0.25">
      <c r="A574" s="6" t="str">
        <f>"60461071"</f>
        <v>60461071</v>
      </c>
      <c r="B574" s="6" t="s">
        <v>217</v>
      </c>
      <c r="C574" s="6"/>
      <c r="D574" s="6"/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1</v>
      </c>
      <c r="L574" s="6">
        <v>0</v>
      </c>
      <c r="M574" s="6">
        <v>106.818</v>
      </c>
      <c r="N574" s="6">
        <v>96.136200000000002</v>
      </c>
      <c r="O574" s="6">
        <v>0</v>
      </c>
      <c r="P574" s="6"/>
      <c r="Q574" s="6">
        <v>0</v>
      </c>
      <c r="R574" s="6">
        <v>0</v>
      </c>
      <c r="S574" s="6">
        <v>0</v>
      </c>
      <c r="T574" s="9">
        <f t="shared" si="28"/>
        <v>96.136200000000002</v>
      </c>
    </row>
    <row r="575" spans="1:20" x14ac:dyDescent="0.25">
      <c r="A575" s="6" t="str">
        <f>"60461071"</f>
        <v>60461071</v>
      </c>
      <c r="B575" s="6" t="s">
        <v>217</v>
      </c>
      <c r="C575" s="6">
        <v>53810</v>
      </c>
      <c r="D575" s="6" t="s">
        <v>570</v>
      </c>
      <c r="E575" s="6">
        <v>30</v>
      </c>
      <c r="F575" s="6">
        <v>538.73089351387</v>
      </c>
      <c r="G575" s="6">
        <v>461.00989508558001</v>
      </c>
      <c r="H575" s="6">
        <v>0</v>
      </c>
      <c r="I575" s="6">
        <v>0</v>
      </c>
      <c r="J575" s="6">
        <v>0</v>
      </c>
      <c r="K575" s="6">
        <v>1</v>
      </c>
      <c r="L575" s="6">
        <v>1</v>
      </c>
      <c r="M575" s="6">
        <v>29.928999999999998</v>
      </c>
      <c r="N575" s="6">
        <v>108.40300000000001</v>
      </c>
      <c r="O575" s="6">
        <v>0</v>
      </c>
      <c r="P575" s="6">
        <v>0</v>
      </c>
      <c r="Q575" s="6">
        <v>94.422124587400006</v>
      </c>
      <c r="R575" s="6">
        <v>94.422124587400006</v>
      </c>
      <c r="S575" s="6">
        <v>193.92</v>
      </c>
      <c r="T575" s="9">
        <f t="shared" si="28"/>
        <v>857.75501967297998</v>
      </c>
    </row>
    <row r="576" spans="1:20" x14ac:dyDescent="0.25">
      <c r="A576" s="6" t="str">
        <f>"60461071"</f>
        <v>60461071</v>
      </c>
      <c r="B576" s="6" t="s">
        <v>217</v>
      </c>
      <c r="C576" s="6" t="s">
        <v>571</v>
      </c>
      <c r="D576" s="6" t="s">
        <v>257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/>
      <c r="Q576" s="6">
        <v>0</v>
      </c>
      <c r="R576" s="6">
        <v>0</v>
      </c>
      <c r="S576" s="6">
        <v>0</v>
      </c>
      <c r="T576" s="9">
        <f t="shared" si="28"/>
        <v>0</v>
      </c>
    </row>
    <row r="577" spans="1:20" x14ac:dyDescent="0.25">
      <c r="A577" s="6" t="str">
        <f t="shared" ref="A577:A596" si="31">"00216305"</f>
        <v>00216305</v>
      </c>
      <c r="B577" s="6" t="s">
        <v>218</v>
      </c>
      <c r="C577" s="6"/>
      <c r="D577" s="6" t="s">
        <v>246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/>
      <c r="Q577" s="6">
        <v>0</v>
      </c>
      <c r="R577" s="6">
        <v>0</v>
      </c>
      <c r="S577" s="6">
        <v>0</v>
      </c>
      <c r="T577" s="9">
        <f t="shared" si="28"/>
        <v>0</v>
      </c>
    </row>
    <row r="578" spans="1:20" x14ac:dyDescent="0.25">
      <c r="A578" s="6" t="str">
        <f t="shared" si="31"/>
        <v>00216305</v>
      </c>
      <c r="B578" s="6" t="s">
        <v>218</v>
      </c>
      <c r="C578" s="6"/>
      <c r="D578" s="6"/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/>
      <c r="Q578" s="6">
        <v>0</v>
      </c>
      <c r="R578" s="6">
        <v>0</v>
      </c>
      <c r="S578" s="6">
        <v>0</v>
      </c>
      <c r="T578" s="9">
        <f t="shared" si="28"/>
        <v>0</v>
      </c>
    </row>
    <row r="579" spans="1:20" x14ac:dyDescent="0.25">
      <c r="A579" s="6" t="str">
        <f t="shared" si="31"/>
        <v>00216305</v>
      </c>
      <c r="B579" s="6" t="s">
        <v>218</v>
      </c>
      <c r="C579" s="6">
        <v>26110</v>
      </c>
      <c r="D579" s="6" t="s">
        <v>278</v>
      </c>
      <c r="E579" s="6">
        <v>1010</v>
      </c>
      <c r="F579" s="6">
        <v>14365.480000898</v>
      </c>
      <c r="G579" s="6">
        <v>12522.249698299</v>
      </c>
      <c r="H579" s="6">
        <v>0</v>
      </c>
      <c r="I579" s="6">
        <v>0</v>
      </c>
      <c r="J579" s="6">
        <v>0</v>
      </c>
      <c r="K579" s="6">
        <v>24.781199999999998</v>
      </c>
      <c r="L579" s="6">
        <v>0</v>
      </c>
      <c r="M579" s="6">
        <v>2912.64</v>
      </c>
      <c r="N579" s="6">
        <v>2621.38</v>
      </c>
      <c r="O579" s="6">
        <v>80</v>
      </c>
      <c r="P579" s="6">
        <v>80</v>
      </c>
      <c r="Q579" s="6">
        <v>1577.5264076881999</v>
      </c>
      <c r="R579" s="6">
        <v>1657.5264076881999</v>
      </c>
      <c r="S579" s="6">
        <v>12277.8</v>
      </c>
      <c r="T579" s="9">
        <f t="shared" si="28"/>
        <v>29078.956105987199</v>
      </c>
    </row>
    <row r="580" spans="1:20" x14ac:dyDescent="0.25">
      <c r="A580" s="6" t="str">
        <f t="shared" si="31"/>
        <v>00216305</v>
      </c>
      <c r="B580" s="6" t="s">
        <v>218</v>
      </c>
      <c r="C580" s="6">
        <v>26210</v>
      </c>
      <c r="D580" s="6" t="s">
        <v>572</v>
      </c>
      <c r="E580" s="6">
        <v>1218</v>
      </c>
      <c r="F580" s="6">
        <v>20515.437752498001</v>
      </c>
      <c r="G580" s="6">
        <v>21527.648821502</v>
      </c>
      <c r="H580" s="6">
        <v>0</v>
      </c>
      <c r="I580" s="6">
        <v>0</v>
      </c>
      <c r="J580" s="6">
        <v>0</v>
      </c>
      <c r="K580" s="6">
        <v>24.781199999999998</v>
      </c>
      <c r="L580" s="6">
        <v>1</v>
      </c>
      <c r="M580" s="6">
        <v>5302.25</v>
      </c>
      <c r="N580" s="6">
        <v>5170.8599999999997</v>
      </c>
      <c r="O580" s="6">
        <v>220</v>
      </c>
      <c r="P580" s="6">
        <v>220</v>
      </c>
      <c r="Q580" s="6">
        <v>1572.0046460164001</v>
      </c>
      <c r="R580" s="6">
        <v>1792.0046460164001</v>
      </c>
      <c r="S580" s="6">
        <v>15959.1</v>
      </c>
      <c r="T580" s="9">
        <f t="shared" si="28"/>
        <v>44449.6134675184</v>
      </c>
    </row>
    <row r="581" spans="1:20" x14ac:dyDescent="0.25">
      <c r="A581" s="6" t="str">
        <f t="shared" si="31"/>
        <v>00216305</v>
      </c>
      <c r="B581" s="6" t="s">
        <v>218</v>
      </c>
      <c r="C581" s="6">
        <v>26220</v>
      </c>
      <c r="D581" s="6" t="s">
        <v>573</v>
      </c>
      <c r="E581" s="6">
        <v>1893</v>
      </c>
      <c r="F581" s="6">
        <v>22456.957431944</v>
      </c>
      <c r="G581" s="6">
        <v>22723.535656546999</v>
      </c>
      <c r="H581" s="6">
        <v>0</v>
      </c>
      <c r="I581" s="6">
        <v>0</v>
      </c>
      <c r="J581" s="6">
        <v>0</v>
      </c>
      <c r="K581" s="6">
        <v>24.781199999999998</v>
      </c>
      <c r="L581" s="6">
        <v>0</v>
      </c>
      <c r="M581" s="6">
        <v>4978.6000000000004</v>
      </c>
      <c r="N581" s="6">
        <v>4480.74</v>
      </c>
      <c r="O581" s="6">
        <v>70</v>
      </c>
      <c r="P581" s="6">
        <v>70</v>
      </c>
      <c r="Q581" s="6">
        <v>1348.6187099393001</v>
      </c>
      <c r="R581" s="6">
        <v>1418.6187099393001</v>
      </c>
      <c r="S581" s="6">
        <v>13681</v>
      </c>
      <c r="T581" s="9">
        <f t="shared" ref="T581:T642" si="32">G581+J581+N581+R581+S581</f>
        <v>42303.894366486296</v>
      </c>
    </row>
    <row r="582" spans="1:20" x14ac:dyDescent="0.25">
      <c r="A582" s="6" t="str">
        <f t="shared" si="31"/>
        <v>00216305</v>
      </c>
      <c r="B582" s="6" t="s">
        <v>218</v>
      </c>
      <c r="C582" s="6">
        <v>26230</v>
      </c>
      <c r="D582" s="6" t="s">
        <v>281</v>
      </c>
      <c r="E582" s="6">
        <v>502</v>
      </c>
      <c r="F582" s="6">
        <v>7590.5904887684001</v>
      </c>
      <c r="G582" s="6">
        <v>6702.9488612883997</v>
      </c>
      <c r="H582" s="6">
        <v>0</v>
      </c>
      <c r="I582" s="6">
        <v>0</v>
      </c>
      <c r="J582" s="6">
        <v>0</v>
      </c>
      <c r="K582" s="6">
        <v>24.781199999999998</v>
      </c>
      <c r="L582" s="6">
        <v>0</v>
      </c>
      <c r="M582" s="6">
        <v>1428.59</v>
      </c>
      <c r="N582" s="6">
        <v>1285.73</v>
      </c>
      <c r="O582" s="6">
        <v>10</v>
      </c>
      <c r="P582" s="6">
        <v>10</v>
      </c>
      <c r="Q582" s="6">
        <v>933.66854578990001</v>
      </c>
      <c r="R582" s="6">
        <v>943.66854578990001</v>
      </c>
      <c r="S582" s="6">
        <v>4991.99</v>
      </c>
      <c r="T582" s="9">
        <f t="shared" si="32"/>
        <v>13924.337407078299</v>
      </c>
    </row>
    <row r="583" spans="1:20" x14ac:dyDescent="0.25">
      <c r="A583" s="6" t="str">
        <f t="shared" si="31"/>
        <v>00216305</v>
      </c>
      <c r="B583" s="6" t="s">
        <v>218</v>
      </c>
      <c r="C583" s="6">
        <v>26310</v>
      </c>
      <c r="D583" s="6" t="s">
        <v>574</v>
      </c>
      <c r="E583" s="6">
        <v>327</v>
      </c>
      <c r="F583" s="6">
        <v>7876.1293257319003</v>
      </c>
      <c r="G583" s="6">
        <v>8400.8983532014008</v>
      </c>
      <c r="H583" s="6">
        <v>0</v>
      </c>
      <c r="I583" s="6">
        <v>0</v>
      </c>
      <c r="J583" s="6">
        <v>0</v>
      </c>
      <c r="K583" s="6">
        <v>24.781199999999998</v>
      </c>
      <c r="L583" s="6">
        <v>0</v>
      </c>
      <c r="M583" s="6">
        <v>1279.07</v>
      </c>
      <c r="N583" s="6">
        <v>1151.1600000000001</v>
      </c>
      <c r="O583" s="6">
        <v>60</v>
      </c>
      <c r="P583" s="6">
        <v>60</v>
      </c>
      <c r="Q583" s="6">
        <v>257.64130941140002</v>
      </c>
      <c r="R583" s="6">
        <v>317.64130941140002</v>
      </c>
      <c r="S583" s="6">
        <v>1156.94</v>
      </c>
      <c r="T583" s="9">
        <f t="shared" si="32"/>
        <v>11026.639662612801</v>
      </c>
    </row>
    <row r="584" spans="1:20" x14ac:dyDescent="0.25">
      <c r="A584" s="6" t="str">
        <f t="shared" si="31"/>
        <v>00216305</v>
      </c>
      <c r="B584" s="6" t="s">
        <v>218</v>
      </c>
      <c r="C584" s="6">
        <v>26410</v>
      </c>
      <c r="D584" s="6" t="s">
        <v>284</v>
      </c>
      <c r="E584" s="6">
        <v>26</v>
      </c>
      <c r="F584" s="6">
        <v>502.87391905589999</v>
      </c>
      <c r="G584" s="6">
        <v>379.09316857179999</v>
      </c>
      <c r="H584" s="6">
        <v>0</v>
      </c>
      <c r="I584" s="6">
        <v>0</v>
      </c>
      <c r="J584" s="6">
        <v>0</v>
      </c>
      <c r="K584" s="6">
        <v>24.781199999999998</v>
      </c>
      <c r="L584" s="6">
        <v>0</v>
      </c>
      <c r="M584" s="6">
        <v>18.544</v>
      </c>
      <c r="N584" s="6">
        <v>16.689599999999999</v>
      </c>
      <c r="O584" s="6">
        <v>0</v>
      </c>
      <c r="P584" s="6">
        <v>0</v>
      </c>
      <c r="Q584" s="6">
        <v>10.736758806199999</v>
      </c>
      <c r="R584" s="6">
        <v>10.736758806199999</v>
      </c>
      <c r="S584" s="6">
        <v>12.46</v>
      </c>
      <c r="T584" s="9">
        <f t="shared" si="32"/>
        <v>418.97952737799994</v>
      </c>
    </row>
    <row r="585" spans="1:20" x14ac:dyDescent="0.25">
      <c r="A585" s="6" t="str">
        <f t="shared" si="31"/>
        <v>00216305</v>
      </c>
      <c r="B585" s="6" t="s">
        <v>218</v>
      </c>
      <c r="C585" s="6">
        <v>26420</v>
      </c>
      <c r="D585" s="6" t="s">
        <v>575</v>
      </c>
      <c r="E585" s="6">
        <v>17</v>
      </c>
      <c r="F585" s="6">
        <v>463.36661555674999</v>
      </c>
      <c r="G585" s="6">
        <v>320.14968408906998</v>
      </c>
      <c r="H585" s="6">
        <v>0</v>
      </c>
      <c r="I585" s="6">
        <v>0</v>
      </c>
      <c r="J585" s="6">
        <v>0</v>
      </c>
      <c r="K585" s="6">
        <v>24.781199999999998</v>
      </c>
      <c r="L585" s="6">
        <v>0</v>
      </c>
      <c r="M585" s="6">
        <v>8.343</v>
      </c>
      <c r="N585" s="6">
        <v>7.5087000000000002</v>
      </c>
      <c r="O585" s="6">
        <v>0</v>
      </c>
      <c r="P585" s="6"/>
      <c r="Q585" s="6">
        <v>0</v>
      </c>
      <c r="R585" s="6">
        <v>0</v>
      </c>
      <c r="S585" s="6">
        <v>0</v>
      </c>
      <c r="T585" s="9">
        <f t="shared" si="32"/>
        <v>327.65838408906995</v>
      </c>
    </row>
    <row r="586" spans="1:20" x14ac:dyDescent="0.25">
      <c r="A586" s="6" t="str">
        <f t="shared" si="31"/>
        <v>00216305</v>
      </c>
      <c r="B586" s="6" t="s">
        <v>218</v>
      </c>
      <c r="C586" s="6">
        <v>26510</v>
      </c>
      <c r="D586" s="6" t="s">
        <v>576</v>
      </c>
      <c r="E586" s="6">
        <v>429</v>
      </c>
      <c r="F586" s="6">
        <v>4856.8719067259999</v>
      </c>
      <c r="G586" s="6">
        <v>3577.2826006348</v>
      </c>
      <c r="H586" s="6">
        <v>0</v>
      </c>
      <c r="I586" s="6">
        <v>0</v>
      </c>
      <c r="J586" s="6">
        <v>0</v>
      </c>
      <c r="K586" s="6">
        <v>24.781199999999998</v>
      </c>
      <c r="L586" s="6">
        <v>0</v>
      </c>
      <c r="M586" s="6">
        <v>346.33499999999998</v>
      </c>
      <c r="N586" s="6">
        <v>311.702</v>
      </c>
      <c r="O586" s="6">
        <v>0</v>
      </c>
      <c r="P586" s="6"/>
      <c r="Q586" s="6">
        <v>0</v>
      </c>
      <c r="R586" s="6">
        <v>0</v>
      </c>
      <c r="S586" s="6">
        <v>0</v>
      </c>
      <c r="T586" s="9">
        <f t="shared" si="32"/>
        <v>3888.9846006347998</v>
      </c>
    </row>
    <row r="587" spans="1:20" x14ac:dyDescent="0.25">
      <c r="A587" s="6" t="str">
        <f t="shared" si="31"/>
        <v>00216305</v>
      </c>
      <c r="B587" s="6" t="s">
        <v>218</v>
      </c>
      <c r="C587" s="6">
        <v>26520</v>
      </c>
      <c r="D587" s="6" t="s">
        <v>577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/>
      <c r="Q587" s="6">
        <v>0</v>
      </c>
      <c r="R587" s="6">
        <v>0</v>
      </c>
      <c r="S587" s="6">
        <v>0</v>
      </c>
      <c r="T587" s="9">
        <f t="shared" si="32"/>
        <v>0</v>
      </c>
    </row>
    <row r="588" spans="1:20" x14ac:dyDescent="0.25">
      <c r="A588" s="6" t="str">
        <f t="shared" si="31"/>
        <v>00216305</v>
      </c>
      <c r="B588" s="6" t="s">
        <v>218</v>
      </c>
      <c r="C588" s="6">
        <v>26530</v>
      </c>
      <c r="D588" s="6" t="s">
        <v>578</v>
      </c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/>
      <c r="Q588" s="6">
        <v>0</v>
      </c>
      <c r="R588" s="6">
        <v>0</v>
      </c>
      <c r="S588" s="6">
        <v>0</v>
      </c>
      <c r="T588" s="9">
        <f t="shared" si="32"/>
        <v>0</v>
      </c>
    </row>
    <row r="589" spans="1:20" x14ac:dyDescent="0.25">
      <c r="A589" s="6" t="str">
        <f t="shared" si="31"/>
        <v>00216305</v>
      </c>
      <c r="B589" s="6" t="s">
        <v>218</v>
      </c>
      <c r="C589" s="6">
        <v>26610</v>
      </c>
      <c r="D589" s="6" t="s">
        <v>579</v>
      </c>
      <c r="E589" s="6">
        <v>42</v>
      </c>
      <c r="F589" s="6">
        <v>198.63380963348001</v>
      </c>
      <c r="G589" s="6">
        <v>198.57751880786</v>
      </c>
      <c r="H589" s="6">
        <v>0</v>
      </c>
      <c r="I589" s="6">
        <v>0</v>
      </c>
      <c r="J589" s="6">
        <v>0</v>
      </c>
      <c r="K589" s="6">
        <v>24.781199999999998</v>
      </c>
      <c r="L589" s="6">
        <v>0</v>
      </c>
      <c r="M589" s="6">
        <v>29.097999999999999</v>
      </c>
      <c r="N589" s="6">
        <v>26.188199999999998</v>
      </c>
      <c r="O589" s="6">
        <v>0</v>
      </c>
      <c r="P589" s="6">
        <v>0</v>
      </c>
      <c r="Q589" s="6">
        <v>26.259044394699998</v>
      </c>
      <c r="R589" s="6">
        <v>26.259044394699998</v>
      </c>
      <c r="S589" s="6">
        <v>8.5559999999999992</v>
      </c>
      <c r="T589" s="9">
        <f t="shared" si="32"/>
        <v>259.58076320255998</v>
      </c>
    </row>
    <row r="590" spans="1:20" x14ac:dyDescent="0.25">
      <c r="A590" s="6" t="str">
        <f t="shared" si="31"/>
        <v>00216305</v>
      </c>
      <c r="B590" s="6" t="s">
        <v>218</v>
      </c>
      <c r="C590" s="6">
        <v>26620</v>
      </c>
      <c r="D590" s="6" t="s">
        <v>346</v>
      </c>
      <c r="E590" s="6">
        <v>289</v>
      </c>
      <c r="F590" s="6">
        <v>8872.3086312184005</v>
      </c>
      <c r="G590" s="6">
        <v>9901.6283659824003</v>
      </c>
      <c r="H590" s="6">
        <v>0</v>
      </c>
      <c r="I590" s="6">
        <v>0</v>
      </c>
      <c r="J590" s="6">
        <v>0</v>
      </c>
      <c r="K590" s="6">
        <v>24.781199999999998</v>
      </c>
      <c r="L590" s="6">
        <v>0</v>
      </c>
      <c r="M590" s="6">
        <v>283.57400000000001</v>
      </c>
      <c r="N590" s="6">
        <v>255.21700000000001</v>
      </c>
      <c r="O590" s="6">
        <v>20</v>
      </c>
      <c r="P590" s="6">
        <v>20</v>
      </c>
      <c r="Q590" s="6">
        <v>641.69005916790002</v>
      </c>
      <c r="R590" s="6">
        <v>661.69005916790002</v>
      </c>
      <c r="S590" s="6">
        <v>887.83900000000006</v>
      </c>
      <c r="T590" s="9">
        <f t="shared" si="32"/>
        <v>11706.374425150301</v>
      </c>
    </row>
    <row r="591" spans="1:20" x14ac:dyDescent="0.25">
      <c r="A591" s="6" t="str">
        <f t="shared" si="31"/>
        <v>00216305</v>
      </c>
      <c r="B591" s="6" t="s">
        <v>218</v>
      </c>
      <c r="C591" s="6">
        <v>26630</v>
      </c>
      <c r="D591" s="6" t="s">
        <v>580</v>
      </c>
      <c r="E591" s="6">
        <v>3</v>
      </c>
      <c r="F591" s="6">
        <v>14.049070357143</v>
      </c>
      <c r="G591" s="6">
        <v>6.9216851478498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/>
      <c r="Q591" s="6">
        <v>0</v>
      </c>
      <c r="R591" s="6">
        <v>0</v>
      </c>
      <c r="S591" s="6">
        <v>0</v>
      </c>
      <c r="T591" s="9">
        <f t="shared" si="32"/>
        <v>6.9216851478498</v>
      </c>
    </row>
    <row r="592" spans="1:20" x14ac:dyDescent="0.25">
      <c r="A592" s="6" t="str">
        <f t="shared" si="31"/>
        <v>00216305</v>
      </c>
      <c r="B592" s="6" t="s">
        <v>218</v>
      </c>
      <c r="C592" s="6">
        <v>26640</v>
      </c>
      <c r="D592" s="6" t="s">
        <v>581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24.781199999999998</v>
      </c>
      <c r="L592" s="6">
        <v>0</v>
      </c>
      <c r="M592" s="6">
        <v>2.7050000000000001</v>
      </c>
      <c r="N592" s="6">
        <v>2.4344999999999999</v>
      </c>
      <c r="O592" s="6">
        <v>0</v>
      </c>
      <c r="P592" s="6"/>
      <c r="Q592" s="6">
        <v>0</v>
      </c>
      <c r="R592" s="6">
        <v>0</v>
      </c>
      <c r="S592" s="6">
        <v>18.033999999999999</v>
      </c>
      <c r="T592" s="9">
        <f t="shared" si="32"/>
        <v>20.468499999999999</v>
      </c>
    </row>
    <row r="593" spans="1:20" x14ac:dyDescent="0.25">
      <c r="A593" s="6" t="str">
        <f t="shared" si="31"/>
        <v>00216305</v>
      </c>
      <c r="B593" s="6" t="s">
        <v>218</v>
      </c>
      <c r="C593" s="6">
        <v>26650</v>
      </c>
      <c r="D593" s="6" t="s">
        <v>362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/>
      <c r="Q593" s="6">
        <v>0</v>
      </c>
      <c r="R593" s="6">
        <v>0</v>
      </c>
      <c r="S593" s="6">
        <v>0</v>
      </c>
      <c r="T593" s="9">
        <f t="shared" si="32"/>
        <v>0</v>
      </c>
    </row>
    <row r="594" spans="1:20" x14ac:dyDescent="0.25">
      <c r="A594" s="6" t="str">
        <f t="shared" si="31"/>
        <v>00216305</v>
      </c>
      <c r="B594" s="6" t="s">
        <v>218</v>
      </c>
      <c r="C594" s="6">
        <v>26700</v>
      </c>
      <c r="D594" s="6" t="s">
        <v>295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/>
      <c r="Q594" s="6">
        <v>0</v>
      </c>
      <c r="R594" s="6">
        <v>0</v>
      </c>
      <c r="S594" s="6">
        <v>0</v>
      </c>
      <c r="T594" s="9">
        <f t="shared" si="32"/>
        <v>0</v>
      </c>
    </row>
    <row r="595" spans="1:20" x14ac:dyDescent="0.25">
      <c r="A595" s="6" t="str">
        <f t="shared" si="31"/>
        <v>00216305</v>
      </c>
      <c r="B595" s="6" t="s">
        <v>218</v>
      </c>
      <c r="C595" s="6">
        <v>26810</v>
      </c>
      <c r="D595" s="6" t="s">
        <v>582</v>
      </c>
      <c r="E595" s="6">
        <v>1</v>
      </c>
      <c r="F595" s="6">
        <v>12.364000320435</v>
      </c>
      <c r="G595" s="6">
        <v>8.7709999084472994</v>
      </c>
      <c r="H595" s="6">
        <v>0</v>
      </c>
      <c r="I595" s="6">
        <v>0</v>
      </c>
      <c r="J595" s="6">
        <v>0</v>
      </c>
      <c r="K595" s="6">
        <v>24.781199999999998</v>
      </c>
      <c r="L595" s="6">
        <v>0</v>
      </c>
      <c r="M595" s="6">
        <v>0.878</v>
      </c>
      <c r="N595" s="6">
        <v>0.79020000000000001</v>
      </c>
      <c r="O595" s="6">
        <v>0</v>
      </c>
      <c r="P595" s="6">
        <v>0</v>
      </c>
      <c r="Q595" s="6">
        <v>13.0068163824</v>
      </c>
      <c r="R595" s="6">
        <v>13.0068163824</v>
      </c>
      <c r="S595" s="6">
        <v>0</v>
      </c>
      <c r="T595" s="9">
        <f t="shared" si="32"/>
        <v>22.5680162908473</v>
      </c>
    </row>
    <row r="596" spans="1:20" x14ac:dyDescent="0.25">
      <c r="A596" s="6" t="str">
        <f t="shared" si="31"/>
        <v>00216305</v>
      </c>
      <c r="B596" s="6" t="s">
        <v>218</v>
      </c>
      <c r="C596" s="6" t="s">
        <v>583</v>
      </c>
      <c r="D596" s="6" t="s">
        <v>257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/>
      <c r="Q596" s="6">
        <v>0</v>
      </c>
      <c r="R596" s="6">
        <v>0</v>
      </c>
      <c r="S596" s="6">
        <v>0</v>
      </c>
      <c r="T596" s="9">
        <f t="shared" si="32"/>
        <v>0</v>
      </c>
    </row>
    <row r="597" spans="1:20" x14ac:dyDescent="0.25">
      <c r="A597" s="6" t="str">
        <f>"27184145"</f>
        <v>27184145</v>
      </c>
      <c r="B597" s="6" t="s">
        <v>219</v>
      </c>
      <c r="C597" s="6"/>
      <c r="D597" s="6"/>
      <c r="E597" s="6">
        <v>20</v>
      </c>
      <c r="F597" s="6">
        <v>151.61047114822</v>
      </c>
      <c r="G597" s="6">
        <v>161.22859361350999</v>
      </c>
      <c r="H597" s="6">
        <v>0</v>
      </c>
      <c r="I597" s="6">
        <v>0</v>
      </c>
      <c r="J597" s="6">
        <v>0</v>
      </c>
      <c r="K597" s="6">
        <v>1</v>
      </c>
      <c r="L597" s="6">
        <v>0</v>
      </c>
      <c r="M597" s="6">
        <v>110.621</v>
      </c>
      <c r="N597" s="6">
        <v>99.558899999999994</v>
      </c>
      <c r="O597" s="6">
        <v>625</v>
      </c>
      <c r="P597" s="6">
        <v>625</v>
      </c>
      <c r="Q597" s="6">
        <v>37.016254170099998</v>
      </c>
      <c r="R597" s="6">
        <v>662.01625417009996</v>
      </c>
      <c r="S597" s="6">
        <v>665.17899999999997</v>
      </c>
      <c r="T597" s="9">
        <f t="shared" si="32"/>
        <v>1587.9827477836097</v>
      </c>
    </row>
    <row r="598" spans="1:20" x14ac:dyDescent="0.25">
      <c r="A598" s="6" t="str">
        <f>"25271121"</f>
        <v>25271121</v>
      </c>
      <c r="B598" s="6" t="s">
        <v>220</v>
      </c>
      <c r="C598" s="6"/>
      <c r="D598" s="6"/>
      <c r="E598" s="6">
        <v>115</v>
      </c>
      <c r="F598" s="6">
        <v>1211.3041841264001</v>
      </c>
      <c r="G598" s="6">
        <v>1203.6093161204999</v>
      </c>
      <c r="H598" s="6">
        <v>0</v>
      </c>
      <c r="I598" s="6">
        <v>0</v>
      </c>
      <c r="J598" s="6">
        <v>0</v>
      </c>
      <c r="K598" s="6">
        <v>1</v>
      </c>
      <c r="L598" s="6">
        <v>0</v>
      </c>
      <c r="M598" s="6">
        <v>323.90699999999998</v>
      </c>
      <c r="N598" s="6">
        <v>291.51600000000002</v>
      </c>
      <c r="O598" s="6">
        <v>125</v>
      </c>
      <c r="P598" s="6">
        <v>125</v>
      </c>
      <c r="Q598" s="6">
        <v>248.7860397673</v>
      </c>
      <c r="R598" s="6">
        <v>373.7860397673</v>
      </c>
      <c r="S598" s="6">
        <v>1362.65</v>
      </c>
      <c r="T598" s="9">
        <f t="shared" si="32"/>
        <v>3231.5613558878003</v>
      </c>
    </row>
    <row r="599" spans="1:20" x14ac:dyDescent="0.25">
      <c r="A599" s="6" t="str">
        <f>"00010669"</f>
        <v>00010669</v>
      </c>
      <c r="B599" s="6" t="s">
        <v>221</v>
      </c>
      <c r="C599" s="6"/>
      <c r="D599" s="6"/>
      <c r="E599" s="6">
        <v>100</v>
      </c>
      <c r="F599" s="6">
        <v>1031.8828356107999</v>
      </c>
      <c r="G599" s="6">
        <v>1011.7373580249</v>
      </c>
      <c r="H599" s="6">
        <v>0</v>
      </c>
      <c r="I599" s="6">
        <v>0</v>
      </c>
      <c r="J599" s="6">
        <v>0</v>
      </c>
      <c r="K599" s="6">
        <v>2.3714300000000001</v>
      </c>
      <c r="L599" s="6">
        <v>0</v>
      </c>
      <c r="M599" s="6">
        <v>1106.6099999999999</v>
      </c>
      <c r="N599" s="6">
        <v>995.94899999999996</v>
      </c>
      <c r="O599" s="6">
        <v>0</v>
      </c>
      <c r="P599" s="6">
        <v>0</v>
      </c>
      <c r="Q599" s="6">
        <v>1352.3816882639001</v>
      </c>
      <c r="R599" s="6">
        <v>1352.3816882639001</v>
      </c>
      <c r="S599" s="6">
        <v>9033.4</v>
      </c>
      <c r="T599" s="9">
        <f t="shared" si="32"/>
        <v>12393.468046288799</v>
      </c>
    </row>
    <row r="600" spans="1:20" x14ac:dyDescent="0.25">
      <c r="A600" s="6" t="str">
        <f>"47718684"</f>
        <v>47718684</v>
      </c>
      <c r="B600" s="6" t="s">
        <v>222</v>
      </c>
      <c r="C600" s="6"/>
      <c r="D600" s="6"/>
      <c r="E600" s="6">
        <v>61</v>
      </c>
      <c r="F600" s="6">
        <v>763.48022516799995</v>
      </c>
      <c r="G600" s="6">
        <v>724.69382575727002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347.19799999999998</v>
      </c>
      <c r="N600" s="6">
        <v>312.47800000000001</v>
      </c>
      <c r="O600" s="6">
        <v>0</v>
      </c>
      <c r="P600" s="6">
        <v>0</v>
      </c>
      <c r="Q600" s="6">
        <v>381.63553539639997</v>
      </c>
      <c r="R600" s="6">
        <v>381.63553539639997</v>
      </c>
      <c r="S600" s="6">
        <v>2308.59</v>
      </c>
      <c r="T600" s="9">
        <f t="shared" si="32"/>
        <v>3727.3973611536703</v>
      </c>
    </row>
    <row r="601" spans="1:20" x14ac:dyDescent="0.25">
      <c r="A601" s="6" t="str">
        <f>"00025950"</f>
        <v>00025950</v>
      </c>
      <c r="B601" s="6" t="s">
        <v>223</v>
      </c>
      <c r="C601" s="6"/>
      <c r="D601" s="6"/>
      <c r="E601" s="6">
        <v>23</v>
      </c>
      <c r="F601" s="6">
        <v>243.94190010299999</v>
      </c>
      <c r="G601" s="6">
        <v>259.08866234019001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95.342399999999998</v>
      </c>
      <c r="N601" s="6">
        <v>85.808199999999999</v>
      </c>
      <c r="O601" s="6">
        <v>0</v>
      </c>
      <c r="P601" s="6">
        <v>0</v>
      </c>
      <c r="Q601" s="6">
        <v>24.377555232399999</v>
      </c>
      <c r="R601" s="6">
        <v>24.377555232399999</v>
      </c>
      <c r="S601" s="6">
        <v>182.70099999999999</v>
      </c>
      <c r="T601" s="9">
        <f t="shared" si="32"/>
        <v>551.97541757259</v>
      </c>
    </row>
    <row r="602" spans="1:20" x14ac:dyDescent="0.25">
      <c r="A602" s="6" t="str">
        <f>"60109807"</f>
        <v>60109807</v>
      </c>
      <c r="B602" s="6" t="s">
        <v>224</v>
      </c>
      <c r="C602" s="6"/>
      <c r="D602" s="6"/>
      <c r="E602" s="6">
        <v>46</v>
      </c>
      <c r="F602" s="6">
        <v>298.24374868182002</v>
      </c>
      <c r="G602" s="6">
        <v>325.36922909428</v>
      </c>
      <c r="H602" s="6">
        <v>0</v>
      </c>
      <c r="I602" s="6">
        <v>0</v>
      </c>
      <c r="J602" s="6">
        <v>0</v>
      </c>
      <c r="K602" s="6">
        <v>1</v>
      </c>
      <c r="L602" s="6">
        <v>1</v>
      </c>
      <c r="M602" s="6">
        <v>256.59899999999999</v>
      </c>
      <c r="N602" s="6">
        <v>383.80700000000002</v>
      </c>
      <c r="O602" s="6">
        <v>125</v>
      </c>
      <c r="P602" s="6">
        <v>125</v>
      </c>
      <c r="Q602" s="6">
        <v>164.83481138709999</v>
      </c>
      <c r="R602" s="6">
        <v>289.83481138709999</v>
      </c>
      <c r="S602" s="6">
        <v>1351.58</v>
      </c>
      <c r="T602" s="9">
        <f t="shared" si="32"/>
        <v>2350.5910404813799</v>
      </c>
    </row>
    <row r="603" spans="1:20" x14ac:dyDescent="0.25">
      <c r="A603" s="6" t="str">
        <f>"00025615"</f>
        <v>00025615</v>
      </c>
      <c r="B603" s="6" t="s">
        <v>225</v>
      </c>
      <c r="C603" s="6"/>
      <c r="D603" s="6"/>
      <c r="E603" s="6">
        <v>58</v>
      </c>
      <c r="F603" s="6">
        <v>862.05933406827</v>
      </c>
      <c r="G603" s="6">
        <v>815.09769184202003</v>
      </c>
      <c r="H603" s="6">
        <v>0</v>
      </c>
      <c r="I603" s="6">
        <v>0</v>
      </c>
      <c r="J603" s="6">
        <v>0</v>
      </c>
      <c r="K603" s="6">
        <v>1</v>
      </c>
      <c r="L603" s="6">
        <v>0</v>
      </c>
      <c r="M603" s="6">
        <v>703.91200000000003</v>
      </c>
      <c r="N603" s="6">
        <v>633.52099999999996</v>
      </c>
      <c r="O603" s="6">
        <v>0</v>
      </c>
      <c r="P603" s="6">
        <v>0</v>
      </c>
      <c r="Q603" s="6">
        <v>248.70423589070001</v>
      </c>
      <c r="R603" s="6">
        <v>248.70423589070001</v>
      </c>
      <c r="S603" s="6">
        <v>2123.06</v>
      </c>
      <c r="T603" s="9">
        <f t="shared" si="32"/>
        <v>3820.3829277327195</v>
      </c>
    </row>
    <row r="604" spans="1:20" x14ac:dyDescent="0.25">
      <c r="A604" s="6" t="str">
        <f>"00020702"</f>
        <v>00020702</v>
      </c>
      <c r="B604" s="6" t="s">
        <v>226</v>
      </c>
      <c r="C604" s="6"/>
      <c r="D604" s="6"/>
      <c r="E604" s="6">
        <v>230</v>
      </c>
      <c r="F604" s="6">
        <v>2968.7245437076999</v>
      </c>
      <c r="G604" s="6">
        <v>3062.097573943</v>
      </c>
      <c r="H604" s="6">
        <v>0</v>
      </c>
      <c r="I604" s="6">
        <v>0</v>
      </c>
      <c r="J604" s="6">
        <v>0</v>
      </c>
      <c r="K604" s="6">
        <v>2</v>
      </c>
      <c r="L604" s="6">
        <v>0</v>
      </c>
      <c r="M604" s="6">
        <v>470.77699999999999</v>
      </c>
      <c r="N604" s="6">
        <v>423.69900000000001</v>
      </c>
      <c r="O604" s="6">
        <v>0</v>
      </c>
      <c r="P604" s="6">
        <v>0</v>
      </c>
      <c r="Q604" s="6">
        <v>456.52698444100002</v>
      </c>
      <c r="R604" s="6">
        <v>456.52698444100002</v>
      </c>
      <c r="S604" s="6">
        <v>1460.29</v>
      </c>
      <c r="T604" s="9">
        <f t="shared" si="32"/>
        <v>5402.6135583840005</v>
      </c>
    </row>
    <row r="605" spans="1:20" x14ac:dyDescent="0.25">
      <c r="A605" s="6" t="str">
        <f>"00027049"</f>
        <v>00027049</v>
      </c>
      <c r="B605" s="6" t="s">
        <v>227</v>
      </c>
      <c r="C605" s="6"/>
      <c r="D605" s="6"/>
      <c r="E605" s="6">
        <v>89</v>
      </c>
      <c r="F605" s="6">
        <v>856.24147436058001</v>
      </c>
      <c r="G605" s="6">
        <v>851.83619392246999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20</v>
      </c>
      <c r="P605" s="6">
        <v>20</v>
      </c>
      <c r="Q605" s="6">
        <v>454.76820109369999</v>
      </c>
      <c r="R605" s="6">
        <v>474.76820109369999</v>
      </c>
      <c r="S605" s="6">
        <v>1526.74</v>
      </c>
      <c r="T605" s="9">
        <f t="shared" si="32"/>
        <v>2853.34439501617</v>
      </c>
    </row>
    <row r="606" spans="1:20" x14ac:dyDescent="0.25">
      <c r="A606" s="6" t="str">
        <f>"26722861"</f>
        <v>26722861</v>
      </c>
      <c r="B606" s="6" t="s">
        <v>228</v>
      </c>
      <c r="C606" s="6"/>
      <c r="D606" s="6"/>
      <c r="E606" s="6">
        <v>64</v>
      </c>
      <c r="F606" s="6">
        <v>452.81618384300998</v>
      </c>
      <c r="G606" s="6">
        <v>433.81761264979002</v>
      </c>
      <c r="H606" s="6">
        <v>0</v>
      </c>
      <c r="I606" s="6">
        <v>0</v>
      </c>
      <c r="J606" s="6">
        <v>0</v>
      </c>
      <c r="K606" s="6">
        <v>0.66666700000000001</v>
      </c>
      <c r="L606" s="6">
        <v>0</v>
      </c>
      <c r="M606" s="6">
        <v>228.577</v>
      </c>
      <c r="N606" s="6">
        <v>205.71899999999999</v>
      </c>
      <c r="O606" s="6">
        <v>50</v>
      </c>
      <c r="P606" s="6">
        <v>8.3000001907349006</v>
      </c>
      <c r="Q606" s="6">
        <v>351.81802236879997</v>
      </c>
      <c r="R606" s="6">
        <v>360.11802255949999</v>
      </c>
      <c r="S606" s="6">
        <v>1703.65</v>
      </c>
      <c r="T606" s="9">
        <f t="shared" si="32"/>
        <v>2703.3046352092902</v>
      </c>
    </row>
    <row r="607" spans="1:20" x14ac:dyDescent="0.25">
      <c r="A607" s="6" t="str">
        <f>"60193697"</f>
        <v>60193697</v>
      </c>
      <c r="B607" s="6" t="s">
        <v>229</v>
      </c>
      <c r="C607" s="6"/>
      <c r="D607" s="6"/>
      <c r="E607" s="6">
        <v>106</v>
      </c>
      <c r="F607" s="6">
        <v>1213.6913697279001</v>
      </c>
      <c r="G607" s="6">
        <v>1349.3824755572</v>
      </c>
      <c r="H607" s="6">
        <v>0</v>
      </c>
      <c r="I607" s="6">
        <v>0</v>
      </c>
      <c r="J607" s="6">
        <v>0</v>
      </c>
      <c r="K607" s="6">
        <v>1</v>
      </c>
      <c r="L607" s="6">
        <v>0</v>
      </c>
      <c r="M607" s="6">
        <v>396.72</v>
      </c>
      <c r="N607" s="6">
        <v>357.048</v>
      </c>
      <c r="O607" s="6">
        <v>130</v>
      </c>
      <c r="P607" s="6">
        <v>120</v>
      </c>
      <c r="Q607" s="6">
        <v>273.77712407429999</v>
      </c>
      <c r="R607" s="6">
        <v>393.77712407429999</v>
      </c>
      <c r="S607" s="6">
        <v>884.88300000000004</v>
      </c>
      <c r="T607" s="9">
        <f t="shared" si="32"/>
        <v>2985.0905996314996</v>
      </c>
    </row>
    <row r="608" spans="1:20" x14ac:dyDescent="0.25">
      <c r="A608" s="6" t="str">
        <f>"00027022"</f>
        <v>00027022</v>
      </c>
      <c r="B608" s="6" t="s">
        <v>230</v>
      </c>
      <c r="C608" s="6"/>
      <c r="D608" s="6"/>
      <c r="E608" s="6">
        <v>63</v>
      </c>
      <c r="F608" s="6">
        <v>646.84195341964005</v>
      </c>
      <c r="G608" s="6">
        <v>680.92531332159001</v>
      </c>
      <c r="H608" s="6">
        <v>0</v>
      </c>
      <c r="I608" s="6">
        <v>0</v>
      </c>
      <c r="J608" s="6">
        <v>0</v>
      </c>
      <c r="K608" s="6">
        <v>0.14285700000000001</v>
      </c>
      <c r="L608" s="6">
        <v>0</v>
      </c>
      <c r="M608" s="6">
        <v>346.762</v>
      </c>
      <c r="N608" s="6">
        <v>312.08600000000001</v>
      </c>
      <c r="O608" s="6">
        <v>180</v>
      </c>
      <c r="P608" s="6">
        <v>170</v>
      </c>
      <c r="Q608" s="6">
        <v>182.42264486010001</v>
      </c>
      <c r="R608" s="6">
        <v>352.42264486009998</v>
      </c>
      <c r="S608" s="6">
        <v>1705.46</v>
      </c>
      <c r="T608" s="9">
        <f t="shared" si="32"/>
        <v>3050.8939581816903</v>
      </c>
    </row>
    <row r="609" spans="1:20" x14ac:dyDescent="0.25">
      <c r="A609" s="6" t="str">
        <f>"45773009"</f>
        <v>45773009</v>
      </c>
      <c r="B609" s="6" t="s">
        <v>231</v>
      </c>
      <c r="C609" s="6"/>
      <c r="D609" s="6"/>
      <c r="E609" s="6">
        <v>135</v>
      </c>
      <c r="F609" s="6">
        <v>2247.8703902892998</v>
      </c>
      <c r="G609" s="6">
        <v>2045.8787271937999</v>
      </c>
      <c r="H609" s="6">
        <v>0</v>
      </c>
      <c r="I609" s="6">
        <v>0</v>
      </c>
      <c r="J609" s="6">
        <v>0</v>
      </c>
      <c r="K609" s="6">
        <v>1</v>
      </c>
      <c r="L609" s="6">
        <v>0</v>
      </c>
      <c r="M609" s="6">
        <v>342.601</v>
      </c>
      <c r="N609" s="6">
        <v>308.34100000000001</v>
      </c>
      <c r="O609" s="6">
        <v>0</v>
      </c>
      <c r="P609" s="6">
        <v>0</v>
      </c>
      <c r="Q609" s="6">
        <v>174.83533530380001</v>
      </c>
      <c r="R609" s="6">
        <v>174.83533530380001</v>
      </c>
      <c r="S609" s="6">
        <v>408.798</v>
      </c>
      <c r="T609" s="9">
        <f t="shared" si="32"/>
        <v>2937.8530624976001</v>
      </c>
    </row>
    <row r="610" spans="1:20" x14ac:dyDescent="0.25">
      <c r="A610" s="6" t="str">
        <f>"00027006"</f>
        <v>00027006</v>
      </c>
      <c r="B610" s="6" t="s">
        <v>232</v>
      </c>
      <c r="C610" s="6"/>
      <c r="D610" s="6"/>
      <c r="E610" s="6">
        <v>762</v>
      </c>
      <c r="F610" s="6">
        <v>12172.454568014</v>
      </c>
      <c r="G610" s="6">
        <v>12552.840433523999</v>
      </c>
      <c r="H610" s="6">
        <v>0</v>
      </c>
      <c r="I610" s="6">
        <v>0</v>
      </c>
      <c r="J610" s="6">
        <v>0</v>
      </c>
      <c r="K610" s="6">
        <v>5.3954500000000003</v>
      </c>
      <c r="L610" s="6">
        <v>2</v>
      </c>
      <c r="M610" s="6">
        <v>2260.41</v>
      </c>
      <c r="N610" s="6">
        <v>2483.62</v>
      </c>
      <c r="O610" s="6">
        <v>170</v>
      </c>
      <c r="P610" s="6">
        <v>170</v>
      </c>
      <c r="Q610" s="6">
        <v>1189.2443073166</v>
      </c>
      <c r="R610" s="6">
        <v>1359.2443073166</v>
      </c>
      <c r="S610" s="6">
        <v>5563.69</v>
      </c>
      <c r="T610" s="9">
        <f t="shared" si="32"/>
        <v>21959.394740840598</v>
      </c>
    </row>
    <row r="611" spans="1:20" x14ac:dyDescent="0.25">
      <c r="A611" s="6" t="str">
        <f>"00027073"</f>
        <v>00027073</v>
      </c>
      <c r="B611" s="6" t="s">
        <v>233</v>
      </c>
      <c r="C611" s="6"/>
      <c r="D611" s="6"/>
      <c r="E611" s="6">
        <v>255</v>
      </c>
      <c r="F611" s="6">
        <v>4858.7181782118996</v>
      </c>
      <c r="G611" s="6">
        <v>4834.9450307825</v>
      </c>
      <c r="H611" s="6">
        <v>0</v>
      </c>
      <c r="I611" s="6">
        <v>0</v>
      </c>
      <c r="J611" s="6">
        <v>0</v>
      </c>
      <c r="K611" s="6">
        <v>4.5999999999999996</v>
      </c>
      <c r="L611" s="6">
        <v>0</v>
      </c>
      <c r="M611" s="6">
        <v>1807.27</v>
      </c>
      <c r="N611" s="6">
        <v>1626.54</v>
      </c>
      <c r="O611" s="6">
        <v>175</v>
      </c>
      <c r="P611" s="6">
        <v>175</v>
      </c>
      <c r="Q611" s="6">
        <v>460.24906082709998</v>
      </c>
      <c r="R611" s="6">
        <v>635.24906082710004</v>
      </c>
      <c r="S611" s="6">
        <v>8986.67</v>
      </c>
      <c r="T611" s="9">
        <f t="shared" si="32"/>
        <v>16083.4040916096</v>
      </c>
    </row>
    <row r="612" spans="1:20" x14ac:dyDescent="0.25">
      <c r="A612" s="6" t="str">
        <f>"26232511"</f>
        <v>26232511</v>
      </c>
      <c r="B612" s="6" t="s">
        <v>234</v>
      </c>
      <c r="C612" s="6"/>
      <c r="D612" s="6"/>
      <c r="E612" s="6">
        <v>20</v>
      </c>
      <c r="F612" s="6">
        <v>289.46448387213002</v>
      </c>
      <c r="G612" s="6">
        <v>162.01239660328</v>
      </c>
      <c r="H612" s="6">
        <v>0</v>
      </c>
      <c r="I612" s="6">
        <v>0</v>
      </c>
      <c r="J612" s="6">
        <v>0</v>
      </c>
      <c r="K612" s="6">
        <v>1</v>
      </c>
      <c r="L612" s="6">
        <v>0</v>
      </c>
      <c r="M612" s="6">
        <v>621.74900000000002</v>
      </c>
      <c r="N612" s="6">
        <v>559.57399999999996</v>
      </c>
      <c r="O612" s="6">
        <v>0</v>
      </c>
      <c r="P612" s="6">
        <v>0</v>
      </c>
      <c r="Q612" s="6">
        <v>258.50025011579999</v>
      </c>
      <c r="R612" s="6">
        <v>258.50025011579999</v>
      </c>
      <c r="S612" s="6">
        <v>3234.16</v>
      </c>
      <c r="T612" s="9">
        <f t="shared" si="32"/>
        <v>4214.2466467190798</v>
      </c>
    </row>
    <row r="613" spans="1:20" x14ac:dyDescent="0.25">
      <c r="A613" s="6" t="str">
        <f>"00027162"</f>
        <v>00027162</v>
      </c>
      <c r="B613" s="6" t="s">
        <v>235</v>
      </c>
      <c r="C613" s="6"/>
      <c r="D613" s="6"/>
      <c r="E613" s="6">
        <v>419</v>
      </c>
      <c r="F613" s="6">
        <v>12992.956183815</v>
      </c>
      <c r="G613" s="6">
        <v>13446.071556348999</v>
      </c>
      <c r="H613" s="6">
        <v>0</v>
      </c>
      <c r="I613" s="6">
        <v>0</v>
      </c>
      <c r="J613" s="6">
        <v>0</v>
      </c>
      <c r="K613" s="6">
        <v>5.5303000000000004</v>
      </c>
      <c r="L613" s="6">
        <v>2</v>
      </c>
      <c r="M613" s="6">
        <v>2094.56</v>
      </c>
      <c r="N613" s="6">
        <v>2336.37</v>
      </c>
      <c r="O613" s="6">
        <v>100</v>
      </c>
      <c r="P613" s="6">
        <v>100</v>
      </c>
      <c r="Q613" s="6">
        <v>692.5311684866</v>
      </c>
      <c r="R613" s="6">
        <v>792.5311684866</v>
      </c>
      <c r="S613" s="6">
        <v>2560.25</v>
      </c>
      <c r="T613" s="9">
        <f t="shared" si="32"/>
        <v>19135.222724835599</v>
      </c>
    </row>
    <row r="614" spans="1:20" x14ac:dyDescent="0.25">
      <c r="A614" s="6" t="str">
        <f>"00020711"</f>
        <v>00020711</v>
      </c>
      <c r="B614" s="6" t="s">
        <v>236</v>
      </c>
      <c r="C614" s="6"/>
      <c r="D614" s="6"/>
      <c r="E614" s="6">
        <v>259</v>
      </c>
      <c r="F614" s="6">
        <v>2529.8715628425002</v>
      </c>
      <c r="G614" s="6">
        <v>2541.1264828727999</v>
      </c>
      <c r="H614" s="6">
        <v>0</v>
      </c>
      <c r="I614" s="6">
        <v>0</v>
      </c>
      <c r="J614" s="6">
        <v>0</v>
      </c>
      <c r="K614" s="6">
        <v>1.5714300000000001</v>
      </c>
      <c r="L614" s="6">
        <v>0</v>
      </c>
      <c r="M614" s="6">
        <v>759.97400000000005</v>
      </c>
      <c r="N614" s="6">
        <v>683.97699999999998</v>
      </c>
      <c r="O614" s="6">
        <v>100</v>
      </c>
      <c r="P614" s="6">
        <v>100</v>
      </c>
      <c r="Q614" s="6">
        <v>1069.1357654709</v>
      </c>
      <c r="R614" s="6">
        <v>1169.1357654709</v>
      </c>
      <c r="S614" s="6">
        <v>4375.42</v>
      </c>
      <c r="T614" s="9">
        <f t="shared" si="32"/>
        <v>8769.6592483436998</v>
      </c>
    </row>
    <row r="615" spans="1:20" x14ac:dyDescent="0.25">
      <c r="A615" s="6" t="str">
        <f>"00027031"</f>
        <v>00027031</v>
      </c>
      <c r="B615" s="6" t="s">
        <v>237</v>
      </c>
      <c r="C615" s="6"/>
      <c r="D615" s="6"/>
      <c r="E615" s="6">
        <v>115</v>
      </c>
      <c r="F615" s="6">
        <v>574.45098660445001</v>
      </c>
      <c r="G615" s="6">
        <v>601.45063641362003</v>
      </c>
      <c r="H615" s="6">
        <v>0</v>
      </c>
      <c r="I615" s="6">
        <v>0</v>
      </c>
      <c r="J615" s="6">
        <v>0</v>
      </c>
      <c r="K615" s="6">
        <v>0.88</v>
      </c>
      <c r="L615" s="6">
        <v>0</v>
      </c>
      <c r="M615" s="6">
        <v>370.70499999999998</v>
      </c>
      <c r="N615" s="6">
        <v>333.63400000000001</v>
      </c>
      <c r="O615" s="6">
        <v>300</v>
      </c>
      <c r="P615" s="6">
        <v>283.29999923705998</v>
      </c>
      <c r="Q615" s="6">
        <v>293.85997578429999</v>
      </c>
      <c r="R615" s="6">
        <v>577.15997502139999</v>
      </c>
      <c r="S615" s="6">
        <v>2031.92</v>
      </c>
      <c r="T615" s="9">
        <f t="shared" si="32"/>
        <v>3544.1646114350201</v>
      </c>
    </row>
    <row r="616" spans="1:20" x14ac:dyDescent="0.25">
      <c r="A616" s="6" t="str">
        <f>"00027014"</f>
        <v>00027014</v>
      </c>
      <c r="B616" s="6" t="s">
        <v>238</v>
      </c>
      <c r="C616" s="6"/>
      <c r="D616" s="6"/>
      <c r="E616" s="6">
        <v>396</v>
      </c>
      <c r="F616" s="6">
        <v>10548.745369484001</v>
      </c>
      <c r="G616" s="6">
        <v>10975.102287878</v>
      </c>
      <c r="H616" s="6">
        <v>0</v>
      </c>
      <c r="I616" s="6">
        <v>0</v>
      </c>
      <c r="J616" s="6">
        <v>0</v>
      </c>
      <c r="K616" s="6">
        <v>6.9706999999999999</v>
      </c>
      <c r="L616" s="6">
        <v>0</v>
      </c>
      <c r="M616" s="6">
        <v>1951.41</v>
      </c>
      <c r="N616" s="6">
        <v>1756.27</v>
      </c>
      <c r="O616" s="6">
        <v>40</v>
      </c>
      <c r="P616" s="6">
        <v>40</v>
      </c>
      <c r="Q616" s="6">
        <v>470.16778086720001</v>
      </c>
      <c r="R616" s="6">
        <v>510.16778086720001</v>
      </c>
      <c r="S616" s="6">
        <v>2819.37</v>
      </c>
      <c r="T616" s="9">
        <f t="shared" si="32"/>
        <v>16060.910068745201</v>
      </c>
    </row>
    <row r="617" spans="1:20" x14ac:dyDescent="0.25">
      <c r="A617" s="6" t="str">
        <f>"00263338"</f>
        <v>00263338</v>
      </c>
      <c r="B617" s="6" t="s">
        <v>239</v>
      </c>
      <c r="C617" s="6"/>
      <c r="D617" s="6"/>
      <c r="E617" s="6">
        <v>3</v>
      </c>
      <c r="F617" s="6">
        <v>19.625372296156002</v>
      </c>
      <c r="G617" s="6">
        <v>12.849323602308001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/>
      <c r="Q617" s="6">
        <v>0</v>
      </c>
      <c r="R617" s="6">
        <v>0</v>
      </c>
      <c r="S617" s="6">
        <v>0</v>
      </c>
      <c r="T617" s="9">
        <f t="shared" si="32"/>
        <v>12.849323602308001</v>
      </c>
    </row>
    <row r="618" spans="1:20" x14ac:dyDescent="0.25">
      <c r="A618" s="6" t="str">
        <f t="shared" ref="A618:A639" si="33">"49777513"</f>
        <v>49777513</v>
      </c>
      <c r="B618" s="6" t="s">
        <v>240</v>
      </c>
      <c r="C618" s="6"/>
      <c r="D618" s="6" t="s">
        <v>246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/>
      <c r="Q618" s="6">
        <v>0</v>
      </c>
      <c r="R618" s="6">
        <v>0</v>
      </c>
      <c r="S618" s="6">
        <v>0</v>
      </c>
      <c r="T618" s="9">
        <f t="shared" si="32"/>
        <v>0</v>
      </c>
    </row>
    <row r="619" spans="1:20" x14ac:dyDescent="0.25">
      <c r="A619" s="6" t="str">
        <f t="shared" si="33"/>
        <v>49777513</v>
      </c>
      <c r="B619" s="6" t="s">
        <v>240</v>
      </c>
      <c r="C619" s="6"/>
      <c r="D619" s="6"/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/>
      <c r="Q619" s="6">
        <v>0</v>
      </c>
      <c r="R619" s="6">
        <v>0</v>
      </c>
      <c r="S619" s="6">
        <v>0</v>
      </c>
      <c r="T619" s="9">
        <f t="shared" si="32"/>
        <v>0</v>
      </c>
    </row>
    <row r="620" spans="1:20" x14ac:dyDescent="0.25">
      <c r="A620" s="6" t="str">
        <f t="shared" si="33"/>
        <v>49777513</v>
      </c>
      <c r="B620" s="6" t="s">
        <v>240</v>
      </c>
      <c r="C620" s="6">
        <v>23210</v>
      </c>
      <c r="D620" s="6" t="s">
        <v>279</v>
      </c>
      <c r="E620" s="6">
        <v>226</v>
      </c>
      <c r="F620" s="6">
        <v>2427.7370816913999</v>
      </c>
      <c r="G620" s="6">
        <v>2254.3507957761999</v>
      </c>
      <c r="H620" s="6">
        <v>0</v>
      </c>
      <c r="I620" s="6">
        <v>0</v>
      </c>
      <c r="J620" s="6">
        <v>0</v>
      </c>
      <c r="K620" s="6">
        <v>18.186699999999998</v>
      </c>
      <c r="L620" s="6">
        <v>0</v>
      </c>
      <c r="M620" s="6">
        <v>1211.76</v>
      </c>
      <c r="N620" s="6">
        <v>1090.58</v>
      </c>
      <c r="O620" s="6">
        <v>700</v>
      </c>
      <c r="P620" s="6">
        <v>450</v>
      </c>
      <c r="Q620" s="6">
        <v>642.56945084150004</v>
      </c>
      <c r="R620" s="6">
        <v>1092.5694508416</v>
      </c>
      <c r="S620" s="6">
        <v>7270.6</v>
      </c>
      <c r="T620" s="9">
        <f t="shared" si="32"/>
        <v>11708.1002466178</v>
      </c>
    </row>
    <row r="621" spans="1:20" x14ac:dyDescent="0.25">
      <c r="A621" s="6" t="str">
        <f t="shared" si="33"/>
        <v>49777513</v>
      </c>
      <c r="B621" s="6" t="s">
        <v>240</v>
      </c>
      <c r="C621" s="6">
        <v>23220</v>
      </c>
      <c r="D621" s="6" t="s">
        <v>280</v>
      </c>
      <c r="E621" s="6">
        <v>629</v>
      </c>
      <c r="F621" s="6">
        <v>6721.7507182438003</v>
      </c>
      <c r="G621" s="6">
        <v>5750.6775872841999</v>
      </c>
      <c r="H621" s="6">
        <v>0</v>
      </c>
      <c r="I621" s="6">
        <v>0</v>
      </c>
      <c r="J621" s="6">
        <v>0</v>
      </c>
      <c r="K621" s="6">
        <v>18.186699999999998</v>
      </c>
      <c r="L621" s="6">
        <v>1</v>
      </c>
      <c r="M621" s="6">
        <v>1519.64</v>
      </c>
      <c r="N621" s="6">
        <v>1647.49</v>
      </c>
      <c r="O621" s="6">
        <v>100</v>
      </c>
      <c r="P621" s="6">
        <v>100</v>
      </c>
      <c r="Q621" s="6">
        <v>945.67326468379997</v>
      </c>
      <c r="R621" s="6">
        <v>1045.6732646838</v>
      </c>
      <c r="S621" s="6">
        <v>7623.32</v>
      </c>
      <c r="T621" s="9">
        <f t="shared" si="32"/>
        <v>16067.160851967999</v>
      </c>
    </row>
    <row r="622" spans="1:20" x14ac:dyDescent="0.25">
      <c r="A622" s="6" t="str">
        <f t="shared" si="33"/>
        <v>49777513</v>
      </c>
      <c r="B622" s="6" t="s">
        <v>240</v>
      </c>
      <c r="C622" s="6">
        <v>23310</v>
      </c>
      <c r="D622" s="6" t="s">
        <v>441</v>
      </c>
      <c r="E622" s="6">
        <v>11</v>
      </c>
      <c r="F622" s="6">
        <v>80.407733694060994</v>
      </c>
      <c r="G622" s="6">
        <v>61.331581110479</v>
      </c>
      <c r="H622" s="6">
        <v>0</v>
      </c>
      <c r="I622" s="6">
        <v>0</v>
      </c>
      <c r="J622" s="6">
        <v>0</v>
      </c>
      <c r="K622" s="6">
        <v>18.186699999999998</v>
      </c>
      <c r="L622" s="6">
        <v>0</v>
      </c>
      <c r="M622" s="6">
        <v>6.3380000000000001</v>
      </c>
      <c r="N622" s="6">
        <v>5.7042000000000002</v>
      </c>
      <c r="O622" s="6">
        <v>0</v>
      </c>
      <c r="P622" s="6"/>
      <c r="Q622" s="6">
        <v>0</v>
      </c>
      <c r="R622" s="6">
        <v>0</v>
      </c>
      <c r="S622" s="6">
        <v>0.749</v>
      </c>
      <c r="T622" s="9">
        <f t="shared" si="32"/>
        <v>67.784781110479003</v>
      </c>
    </row>
    <row r="623" spans="1:20" x14ac:dyDescent="0.25">
      <c r="A623" s="6" t="str">
        <f t="shared" si="33"/>
        <v>49777513</v>
      </c>
      <c r="B623" s="6" t="s">
        <v>240</v>
      </c>
      <c r="C623" s="6">
        <v>23320</v>
      </c>
      <c r="D623" s="6" t="s">
        <v>584</v>
      </c>
      <c r="E623" s="6">
        <v>344</v>
      </c>
      <c r="F623" s="6">
        <v>3291.5717980959998</v>
      </c>
      <c r="G623" s="6">
        <v>3140.6193587221001</v>
      </c>
      <c r="H623" s="6">
        <v>0</v>
      </c>
      <c r="I623" s="6">
        <v>0</v>
      </c>
      <c r="J623" s="6">
        <v>0</v>
      </c>
      <c r="K623" s="6">
        <v>18.186699999999998</v>
      </c>
      <c r="L623" s="6">
        <v>0</v>
      </c>
      <c r="M623" s="6">
        <v>451.98700000000002</v>
      </c>
      <c r="N623" s="6">
        <v>406.78800000000001</v>
      </c>
      <c r="O623" s="6">
        <v>0</v>
      </c>
      <c r="P623" s="6">
        <v>0</v>
      </c>
      <c r="Q623" s="6">
        <v>8.0576818469999996</v>
      </c>
      <c r="R623" s="6">
        <v>8.0576818469999996</v>
      </c>
      <c r="S623" s="6">
        <v>0</v>
      </c>
      <c r="T623" s="9">
        <f t="shared" si="32"/>
        <v>3555.4650405691</v>
      </c>
    </row>
    <row r="624" spans="1:20" x14ac:dyDescent="0.25">
      <c r="A624" s="6" t="str">
        <f t="shared" si="33"/>
        <v>49777513</v>
      </c>
      <c r="B624" s="6" t="s">
        <v>240</v>
      </c>
      <c r="C624" s="6">
        <v>23330</v>
      </c>
      <c r="D624" s="6" t="s">
        <v>501</v>
      </c>
      <c r="E624" s="6">
        <v>872</v>
      </c>
      <c r="F624" s="6">
        <v>11000.865300088</v>
      </c>
      <c r="G624" s="6">
        <v>10095.058257012999</v>
      </c>
      <c r="H624" s="6">
        <v>0</v>
      </c>
      <c r="I624" s="6">
        <v>0</v>
      </c>
      <c r="J624" s="6">
        <v>0</v>
      </c>
      <c r="K624" s="6">
        <v>18.186699999999998</v>
      </c>
      <c r="L624" s="6">
        <v>2</v>
      </c>
      <c r="M624" s="6">
        <v>960.86</v>
      </c>
      <c r="N624" s="6">
        <v>1249.73</v>
      </c>
      <c r="O624" s="6">
        <v>0</v>
      </c>
      <c r="P624" s="6">
        <v>0</v>
      </c>
      <c r="Q624" s="6">
        <v>103.0524335707</v>
      </c>
      <c r="R624" s="6">
        <v>103.0524335707</v>
      </c>
      <c r="S624" s="6">
        <v>383.76600000000002</v>
      </c>
      <c r="T624" s="9">
        <f t="shared" si="32"/>
        <v>11831.606690583698</v>
      </c>
    </row>
    <row r="625" spans="1:20" x14ac:dyDescent="0.25">
      <c r="A625" s="6" t="str">
        <f t="shared" si="33"/>
        <v>49777513</v>
      </c>
      <c r="B625" s="6" t="s">
        <v>240</v>
      </c>
      <c r="C625" s="6">
        <v>23410</v>
      </c>
      <c r="D625" s="6" t="s">
        <v>585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18.186699999999998</v>
      </c>
      <c r="L625" s="6">
        <v>0</v>
      </c>
      <c r="M625" s="6">
        <v>37.856000000000002</v>
      </c>
      <c r="N625" s="6">
        <v>34.070399999999999</v>
      </c>
      <c r="O625" s="6">
        <v>0</v>
      </c>
      <c r="P625" s="6"/>
      <c r="Q625" s="6">
        <v>0</v>
      </c>
      <c r="R625" s="6">
        <v>0</v>
      </c>
      <c r="S625" s="6">
        <v>104.643</v>
      </c>
      <c r="T625" s="9">
        <f t="shared" si="32"/>
        <v>138.71340000000001</v>
      </c>
    </row>
    <row r="626" spans="1:20" x14ac:dyDescent="0.25">
      <c r="A626" s="6" t="str">
        <f t="shared" si="33"/>
        <v>49777513</v>
      </c>
      <c r="B626" s="6" t="s">
        <v>240</v>
      </c>
      <c r="C626" s="6">
        <v>23420</v>
      </c>
      <c r="D626" s="6" t="s">
        <v>586</v>
      </c>
      <c r="E626" s="6">
        <v>324</v>
      </c>
      <c r="F626" s="6">
        <v>3139.1537383599002</v>
      </c>
      <c r="G626" s="6">
        <v>2913.1501267242002</v>
      </c>
      <c r="H626" s="6">
        <v>0</v>
      </c>
      <c r="I626" s="6">
        <v>0</v>
      </c>
      <c r="J626" s="6">
        <v>0</v>
      </c>
      <c r="K626" s="6">
        <v>18.186699999999998</v>
      </c>
      <c r="L626" s="6">
        <v>0</v>
      </c>
      <c r="M626" s="6">
        <v>259.63200000000001</v>
      </c>
      <c r="N626" s="6">
        <v>233.66900000000001</v>
      </c>
      <c r="O626" s="6">
        <v>0</v>
      </c>
      <c r="P626" s="6">
        <v>0</v>
      </c>
      <c r="Q626" s="6">
        <v>75.136860674499999</v>
      </c>
      <c r="R626" s="6">
        <v>75.136860674499999</v>
      </c>
      <c r="S626" s="6">
        <v>175.911</v>
      </c>
      <c r="T626" s="9">
        <f t="shared" si="32"/>
        <v>3397.8669873987001</v>
      </c>
    </row>
    <row r="627" spans="1:20" x14ac:dyDescent="0.25">
      <c r="A627" s="6" t="str">
        <f t="shared" si="33"/>
        <v>49777513</v>
      </c>
      <c r="B627" s="6" t="s">
        <v>240</v>
      </c>
      <c r="C627" s="6">
        <v>23510</v>
      </c>
      <c r="D627" s="6" t="s">
        <v>587</v>
      </c>
      <c r="E627" s="6">
        <v>220</v>
      </c>
      <c r="F627" s="6">
        <v>2331.6415031365</v>
      </c>
      <c r="G627" s="6">
        <v>1716.1666671390001</v>
      </c>
      <c r="H627" s="6">
        <v>0</v>
      </c>
      <c r="I627" s="6">
        <v>0</v>
      </c>
      <c r="J627" s="6">
        <v>0</v>
      </c>
      <c r="K627" s="6">
        <v>18.186699999999998</v>
      </c>
      <c r="L627" s="6">
        <v>0</v>
      </c>
      <c r="M627" s="6">
        <v>141.69999999999999</v>
      </c>
      <c r="N627" s="6">
        <v>127.53</v>
      </c>
      <c r="O627" s="6">
        <v>0</v>
      </c>
      <c r="P627" s="6">
        <v>0</v>
      </c>
      <c r="Q627" s="6">
        <v>46.832719364299997</v>
      </c>
      <c r="R627" s="6">
        <v>46.832719364299997</v>
      </c>
      <c r="S627" s="6">
        <v>45.344299999999997</v>
      </c>
      <c r="T627" s="9">
        <f t="shared" si="32"/>
        <v>1935.8736865033</v>
      </c>
    </row>
    <row r="628" spans="1:20" x14ac:dyDescent="0.25">
      <c r="A628" s="6" t="str">
        <f t="shared" si="33"/>
        <v>49777513</v>
      </c>
      <c r="B628" s="6" t="s">
        <v>240</v>
      </c>
      <c r="C628" s="6">
        <v>23520</v>
      </c>
      <c r="D628" s="6" t="s">
        <v>588</v>
      </c>
      <c r="E628" s="6">
        <v>1041</v>
      </c>
      <c r="F628" s="6">
        <v>21411.434103472999</v>
      </c>
      <c r="G628" s="6">
        <v>19642.470600012999</v>
      </c>
      <c r="H628" s="6">
        <v>0</v>
      </c>
      <c r="I628" s="6">
        <v>0</v>
      </c>
      <c r="J628" s="6">
        <v>0</v>
      </c>
      <c r="K628" s="6">
        <v>18.186699999999998</v>
      </c>
      <c r="L628" s="6">
        <v>2</v>
      </c>
      <c r="M628" s="6">
        <v>3217.1</v>
      </c>
      <c r="N628" s="6">
        <v>3451.89</v>
      </c>
      <c r="O628" s="6">
        <v>10</v>
      </c>
      <c r="P628" s="6">
        <v>10</v>
      </c>
      <c r="Q628" s="6">
        <v>1083.9013652005001</v>
      </c>
      <c r="R628" s="6">
        <v>1093.9013652005001</v>
      </c>
      <c r="S628" s="6">
        <v>5669.68</v>
      </c>
      <c r="T628" s="9">
        <f t="shared" si="32"/>
        <v>29857.9419652135</v>
      </c>
    </row>
    <row r="629" spans="1:20" x14ac:dyDescent="0.25">
      <c r="A629" s="6" t="str">
        <f t="shared" si="33"/>
        <v>49777513</v>
      </c>
      <c r="B629" s="6" t="s">
        <v>240</v>
      </c>
      <c r="C629" s="6">
        <v>23610</v>
      </c>
      <c r="D629" s="6" t="s">
        <v>589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6">
        <v>18.186699999999998</v>
      </c>
      <c r="L629" s="6">
        <v>0</v>
      </c>
      <c r="M629" s="6">
        <v>4.4359999999999999</v>
      </c>
      <c r="N629" s="6">
        <v>3.9923999999999999</v>
      </c>
      <c r="O629" s="6">
        <v>0</v>
      </c>
      <c r="P629" s="6"/>
      <c r="Q629" s="6">
        <v>0</v>
      </c>
      <c r="R629" s="6">
        <v>0</v>
      </c>
      <c r="S629" s="6">
        <v>21.918700000000001</v>
      </c>
      <c r="T629" s="9">
        <f t="shared" si="32"/>
        <v>25.911100000000001</v>
      </c>
    </row>
    <row r="630" spans="1:20" x14ac:dyDescent="0.25">
      <c r="A630" s="6" t="str">
        <f t="shared" si="33"/>
        <v>49777513</v>
      </c>
      <c r="B630" s="6" t="s">
        <v>240</v>
      </c>
      <c r="C630" s="6">
        <v>23620</v>
      </c>
      <c r="D630" s="6" t="s">
        <v>425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/>
      <c r="Q630" s="6">
        <v>0</v>
      </c>
      <c r="R630" s="6">
        <v>0</v>
      </c>
      <c r="S630" s="6">
        <v>0</v>
      </c>
      <c r="T630" s="9">
        <f t="shared" si="32"/>
        <v>0</v>
      </c>
    </row>
    <row r="631" spans="1:20" x14ac:dyDescent="0.25">
      <c r="A631" s="6" t="str">
        <f t="shared" si="33"/>
        <v>49777513</v>
      </c>
      <c r="B631" s="6" t="s">
        <v>240</v>
      </c>
      <c r="C631" s="6">
        <v>23630</v>
      </c>
      <c r="D631" s="6" t="s">
        <v>590</v>
      </c>
      <c r="E631" s="6">
        <v>0</v>
      </c>
      <c r="F631" s="6">
        <v>0</v>
      </c>
      <c r="G631" s="6">
        <v>0</v>
      </c>
      <c r="H631" s="6">
        <v>0</v>
      </c>
      <c r="I631" s="6">
        <v>0</v>
      </c>
      <c r="J631" s="6">
        <v>0</v>
      </c>
      <c r="K631" s="6">
        <v>0</v>
      </c>
      <c r="L631" s="6">
        <v>0</v>
      </c>
      <c r="M631" s="6">
        <v>0</v>
      </c>
      <c r="N631" s="6">
        <v>0</v>
      </c>
      <c r="O631" s="6">
        <v>0</v>
      </c>
      <c r="P631" s="6"/>
      <c r="Q631" s="6">
        <v>0</v>
      </c>
      <c r="R631" s="6">
        <v>0</v>
      </c>
      <c r="S631" s="6">
        <v>0</v>
      </c>
      <c r="T631" s="9">
        <f t="shared" si="32"/>
        <v>0</v>
      </c>
    </row>
    <row r="632" spans="1:20" x14ac:dyDescent="0.25">
      <c r="A632" s="6" t="str">
        <f t="shared" si="33"/>
        <v>49777513</v>
      </c>
      <c r="B632" s="6" t="s">
        <v>240</v>
      </c>
      <c r="C632" s="6">
        <v>23640</v>
      </c>
      <c r="D632" s="6" t="s">
        <v>591</v>
      </c>
      <c r="E632" s="6">
        <v>328</v>
      </c>
      <c r="F632" s="6">
        <v>5540.6312432344002</v>
      </c>
      <c r="G632" s="6">
        <v>6578.9805176309001</v>
      </c>
      <c r="H632" s="6">
        <v>0</v>
      </c>
      <c r="I632" s="6">
        <v>0</v>
      </c>
      <c r="J632" s="6">
        <v>0</v>
      </c>
      <c r="K632" s="6">
        <v>18.186699999999998</v>
      </c>
      <c r="L632" s="6">
        <v>1</v>
      </c>
      <c r="M632" s="6">
        <v>709.18100000000004</v>
      </c>
      <c r="N632" s="6">
        <v>724.40099999999995</v>
      </c>
      <c r="O632" s="6">
        <v>0</v>
      </c>
      <c r="P632" s="6">
        <v>0</v>
      </c>
      <c r="Q632" s="6">
        <v>351.10223844839999</v>
      </c>
      <c r="R632" s="6">
        <v>351.10223844839999</v>
      </c>
      <c r="S632" s="6">
        <v>3528.83</v>
      </c>
      <c r="T632" s="9">
        <f t="shared" si="32"/>
        <v>11183.3137560793</v>
      </c>
    </row>
    <row r="633" spans="1:20" x14ac:dyDescent="0.25">
      <c r="A633" s="6" t="str">
        <f t="shared" si="33"/>
        <v>49777513</v>
      </c>
      <c r="B633" s="6" t="s">
        <v>240</v>
      </c>
      <c r="C633" s="6">
        <v>23650</v>
      </c>
      <c r="D633" s="6" t="s">
        <v>592</v>
      </c>
      <c r="E633" s="6">
        <v>5</v>
      </c>
      <c r="F633" s="6">
        <v>80</v>
      </c>
      <c r="G633" s="6">
        <v>88.638999938965</v>
      </c>
      <c r="H633" s="6">
        <v>0</v>
      </c>
      <c r="I633" s="6">
        <v>0</v>
      </c>
      <c r="J633" s="6">
        <v>0</v>
      </c>
      <c r="K633" s="6">
        <v>0</v>
      </c>
      <c r="L633" s="6">
        <v>0</v>
      </c>
      <c r="M633" s="6">
        <v>0</v>
      </c>
      <c r="N633" s="6">
        <v>0</v>
      </c>
      <c r="O633" s="6">
        <v>0</v>
      </c>
      <c r="P633" s="6"/>
      <c r="Q633" s="6">
        <v>0</v>
      </c>
      <c r="R633" s="6">
        <v>0</v>
      </c>
      <c r="S633" s="6">
        <v>0</v>
      </c>
      <c r="T633" s="9">
        <f t="shared" si="32"/>
        <v>88.638999938965</v>
      </c>
    </row>
    <row r="634" spans="1:20" x14ac:dyDescent="0.25">
      <c r="A634" s="6" t="str">
        <f t="shared" si="33"/>
        <v>49777513</v>
      </c>
      <c r="B634" s="6" t="s">
        <v>240</v>
      </c>
      <c r="C634" s="6">
        <v>23660</v>
      </c>
      <c r="D634" s="6" t="s">
        <v>593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/>
      <c r="Q634" s="6">
        <v>0</v>
      </c>
      <c r="R634" s="6">
        <v>0</v>
      </c>
      <c r="S634" s="6">
        <v>0</v>
      </c>
      <c r="T634" s="9">
        <f t="shared" si="32"/>
        <v>0</v>
      </c>
    </row>
    <row r="635" spans="1:20" x14ac:dyDescent="0.25">
      <c r="A635" s="6" t="str">
        <f t="shared" si="33"/>
        <v>49777513</v>
      </c>
      <c r="B635" s="6" t="s">
        <v>240</v>
      </c>
      <c r="C635" s="6">
        <v>23670</v>
      </c>
      <c r="D635" s="6" t="s">
        <v>594</v>
      </c>
      <c r="E635" s="6">
        <v>1</v>
      </c>
      <c r="F635" s="6">
        <v>3.2000000476836998</v>
      </c>
      <c r="G635" s="6">
        <v>3.4560000896454</v>
      </c>
      <c r="H635" s="6">
        <v>0</v>
      </c>
      <c r="I635" s="6">
        <v>0</v>
      </c>
      <c r="J635" s="6">
        <v>0</v>
      </c>
      <c r="K635" s="6">
        <v>18.186699999999998</v>
      </c>
      <c r="L635" s="6">
        <v>0</v>
      </c>
      <c r="M635" s="6">
        <v>0.502</v>
      </c>
      <c r="N635" s="6">
        <v>0.45179999999999998</v>
      </c>
      <c r="O635" s="6">
        <v>0</v>
      </c>
      <c r="P635" s="6"/>
      <c r="Q635" s="6">
        <v>0</v>
      </c>
      <c r="R635" s="6">
        <v>0</v>
      </c>
      <c r="S635" s="6">
        <v>0</v>
      </c>
      <c r="T635" s="9">
        <f t="shared" si="32"/>
        <v>3.9078000896453999</v>
      </c>
    </row>
    <row r="636" spans="1:20" x14ac:dyDescent="0.25">
      <c r="A636" s="6" t="str">
        <f t="shared" si="33"/>
        <v>49777513</v>
      </c>
      <c r="B636" s="6" t="s">
        <v>240</v>
      </c>
      <c r="C636" s="6">
        <v>23680</v>
      </c>
      <c r="D636" s="6" t="s">
        <v>595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/>
      <c r="Q636" s="6">
        <v>0</v>
      </c>
      <c r="R636" s="6">
        <v>0</v>
      </c>
      <c r="S636" s="6">
        <v>0</v>
      </c>
      <c r="T636" s="9">
        <f t="shared" si="32"/>
        <v>0</v>
      </c>
    </row>
    <row r="637" spans="1:20" x14ac:dyDescent="0.25">
      <c r="A637" s="6" t="str">
        <f t="shared" si="33"/>
        <v>49777513</v>
      </c>
      <c r="B637" s="6" t="s">
        <v>240</v>
      </c>
      <c r="C637" s="6">
        <v>23690</v>
      </c>
      <c r="D637" s="6" t="s">
        <v>596</v>
      </c>
      <c r="E637" s="6">
        <v>0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/>
      <c r="Q637" s="6">
        <v>0</v>
      </c>
      <c r="R637" s="6">
        <v>0</v>
      </c>
      <c r="S637" s="6">
        <v>0</v>
      </c>
      <c r="T637" s="9">
        <f t="shared" si="32"/>
        <v>0</v>
      </c>
    </row>
    <row r="638" spans="1:20" x14ac:dyDescent="0.25">
      <c r="A638" s="6" t="str">
        <f t="shared" si="33"/>
        <v>49777513</v>
      </c>
      <c r="B638" s="6" t="s">
        <v>240</v>
      </c>
      <c r="C638" s="6">
        <v>23810</v>
      </c>
      <c r="D638" s="6" t="s">
        <v>597</v>
      </c>
      <c r="E638" s="6">
        <v>1</v>
      </c>
      <c r="F638" s="6">
        <v>5</v>
      </c>
      <c r="G638" s="6">
        <v>2.7997636621836</v>
      </c>
      <c r="H638" s="6">
        <v>0</v>
      </c>
      <c r="I638" s="6">
        <v>0</v>
      </c>
      <c r="J638" s="6">
        <v>0</v>
      </c>
      <c r="K638" s="6">
        <v>18.186699999999998</v>
      </c>
      <c r="L638" s="6">
        <v>0</v>
      </c>
      <c r="M638" s="6">
        <v>7.0830000000000002</v>
      </c>
      <c r="N638" s="6">
        <v>6.3746999999999998</v>
      </c>
      <c r="O638" s="6">
        <v>0</v>
      </c>
      <c r="P638" s="6">
        <v>0</v>
      </c>
      <c r="Q638" s="6">
        <v>43.458309453799998</v>
      </c>
      <c r="R638" s="6">
        <v>43.458309453799998</v>
      </c>
      <c r="S638" s="6">
        <v>118.26900000000001</v>
      </c>
      <c r="T638" s="9">
        <f t="shared" si="32"/>
        <v>170.90177311598359</v>
      </c>
    </row>
    <row r="639" spans="1:20" x14ac:dyDescent="0.25">
      <c r="A639" s="6" t="str">
        <f t="shared" si="33"/>
        <v>49777513</v>
      </c>
      <c r="B639" s="6" t="s">
        <v>240</v>
      </c>
      <c r="C639" s="6" t="s">
        <v>598</v>
      </c>
      <c r="D639" s="6" t="s">
        <v>257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/>
      <c r="Q639" s="6">
        <v>0</v>
      </c>
      <c r="R639" s="6">
        <v>0</v>
      </c>
      <c r="S639" s="6">
        <v>0</v>
      </c>
      <c r="T639" s="9">
        <f t="shared" si="32"/>
        <v>0</v>
      </c>
    </row>
    <row r="640" spans="1:20" x14ac:dyDescent="0.25">
      <c r="A640" s="6" t="str">
        <f>"00228745"</f>
        <v>00228745</v>
      </c>
      <c r="B640" s="6" t="s">
        <v>241</v>
      </c>
      <c r="C640" s="6"/>
      <c r="D640" s="6"/>
      <c r="E640" s="6">
        <v>60</v>
      </c>
      <c r="F640" s="6">
        <v>427.63759796214998</v>
      </c>
      <c r="G640" s="6">
        <v>412.26538070904002</v>
      </c>
      <c r="H640" s="6">
        <v>0</v>
      </c>
      <c r="I640" s="6">
        <v>0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/>
      <c r="Q640" s="6">
        <v>0</v>
      </c>
      <c r="R640" s="6">
        <v>0</v>
      </c>
      <c r="S640" s="6">
        <v>0</v>
      </c>
      <c r="T640" s="9">
        <f t="shared" si="32"/>
        <v>412.26538070904002</v>
      </c>
    </row>
    <row r="641" spans="1:20" x14ac:dyDescent="0.25">
      <c r="A641" s="6" t="str">
        <f>"26296080"</f>
        <v>26296080</v>
      </c>
      <c r="B641" s="6" t="s">
        <v>242</v>
      </c>
      <c r="C641" s="6"/>
      <c r="D641" s="6"/>
      <c r="E641" s="6">
        <v>134</v>
      </c>
      <c r="F641" s="6">
        <v>599.48860410583995</v>
      </c>
      <c r="G641" s="6">
        <v>622.97174238210005</v>
      </c>
      <c r="H641" s="6">
        <v>0</v>
      </c>
      <c r="I641" s="6">
        <v>0</v>
      </c>
      <c r="J641" s="6">
        <v>0</v>
      </c>
      <c r="K641" s="6">
        <v>1.5</v>
      </c>
      <c r="L641" s="6">
        <v>1</v>
      </c>
      <c r="M641" s="6">
        <v>277.09800000000001</v>
      </c>
      <c r="N641" s="6">
        <v>304.41500000000002</v>
      </c>
      <c r="O641" s="6">
        <v>75</v>
      </c>
      <c r="P641" s="6">
        <v>75</v>
      </c>
      <c r="Q641" s="6">
        <v>246.39327637619999</v>
      </c>
      <c r="R641" s="6">
        <v>321.39327637619999</v>
      </c>
      <c r="S641" s="6">
        <v>1476.57</v>
      </c>
      <c r="T641" s="9">
        <f t="shared" si="32"/>
        <v>2725.3500187582999</v>
      </c>
    </row>
    <row r="642" spans="1:20" x14ac:dyDescent="0.25">
      <c r="A642" s="6" t="str">
        <f>"60459263"</f>
        <v>60459263</v>
      </c>
      <c r="B642" s="6" t="s">
        <v>243</v>
      </c>
      <c r="C642" s="6"/>
      <c r="D642" s="6"/>
      <c r="E642" s="6">
        <v>19</v>
      </c>
      <c r="F642" s="6">
        <v>175.71070768711999</v>
      </c>
      <c r="G642" s="6">
        <v>142.45556576440001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/>
      <c r="Q642" s="6">
        <v>0</v>
      </c>
      <c r="R642" s="6">
        <v>0</v>
      </c>
      <c r="S642" s="6">
        <v>0</v>
      </c>
      <c r="T642" s="9">
        <f t="shared" si="32"/>
        <v>142.45556576440001</v>
      </c>
    </row>
    <row r="643" spans="1:20" x14ac:dyDescent="0.25"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</sheetData>
  <sheetProtection formatCells="0" formatColumns="0" formatRows="0" insertColumns="0" insertRows="0" insertHyperlinks="0" deleteColumns="0" deleteRows="0" sort="0" autoFilter="0" pivotTables="0"/>
  <mergeCells count="5">
    <mergeCell ref="A3:D3"/>
    <mergeCell ref="E3:G3"/>
    <mergeCell ref="H3:J3"/>
    <mergeCell ref="K3:N3"/>
    <mergeCell ref="O3:R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VO_současti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Hodnoceni 2015 -</dc:title>
  <dc:subject>Data Hodnoceni 2015 -</dc:subject>
  <dc:creator>RVVI</dc:creator>
  <cp:keywords>rvvi</cp:keywords>
  <dc:description>Data Hodnoceni 2015 -</dc:description>
  <cp:lastModifiedBy>Sladká Lucie</cp:lastModifiedBy>
  <dcterms:created xsi:type="dcterms:W3CDTF">2017-03-22T00:22:06Z</dcterms:created>
  <dcterms:modified xsi:type="dcterms:W3CDTF">2017-03-22T07:01:26Z</dcterms:modified>
</cp:coreProperties>
</file>