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315"/>
  </bookViews>
  <sheets>
    <sheet name="2018" sheetId="7" r:id="rId1"/>
  </sheets>
  <definedNames>
    <definedName name="_xlnm.Print_Titles" localSheetId="0">'2018'!$63:$63</definedName>
  </definedNames>
  <calcPr calcId="145621"/>
</workbook>
</file>

<file path=xl/calcChain.xml><?xml version="1.0" encoding="utf-8"?>
<calcChain xmlns="http://schemas.openxmlformats.org/spreadsheetml/2006/main">
  <c r="F10" i="7" l="1"/>
  <c r="G10" i="7"/>
  <c r="H10" i="7"/>
  <c r="J10" i="7"/>
  <c r="K10" i="7"/>
  <c r="L10" i="7"/>
  <c r="M10" i="7"/>
  <c r="N10" i="7"/>
  <c r="O10" i="7"/>
  <c r="P10" i="7"/>
  <c r="Q10" i="7"/>
  <c r="R10" i="7"/>
  <c r="E10" i="7"/>
  <c r="D10" i="7"/>
  <c r="S9" i="7"/>
  <c r="S10" i="7" s="1"/>
  <c r="N9" i="7"/>
  <c r="I9" i="7"/>
  <c r="I10" i="7" s="1"/>
  <c r="S84" i="7" l="1"/>
  <c r="S82" i="7"/>
  <c r="S76" i="7"/>
  <c r="S75" i="7"/>
  <c r="N82" i="7"/>
  <c r="N88" i="7" s="1"/>
  <c r="N76" i="7"/>
  <c r="N75" i="7"/>
  <c r="N79" i="7" s="1"/>
  <c r="I76" i="7"/>
  <c r="I75" i="7"/>
  <c r="S19" i="7"/>
  <c r="S57" i="7"/>
  <c r="S58" i="7" s="1"/>
  <c r="S53" i="7"/>
  <c r="S46" i="7"/>
  <c r="S47" i="7" s="1"/>
  <c r="S41" i="7"/>
  <c r="S39" i="7"/>
  <c r="S44" i="7" s="1"/>
  <c r="S37" i="7"/>
  <c r="S35" i="7"/>
  <c r="S34" i="7"/>
  <c r="S32" i="7"/>
  <c r="S30" i="7"/>
  <c r="S25" i="7"/>
  <c r="S21" i="7"/>
  <c r="S22" i="7" s="1"/>
  <c r="S18" i="7"/>
  <c r="S17" i="7"/>
  <c r="S15" i="7"/>
  <c r="N57" i="7"/>
  <c r="N46" i="7"/>
  <c r="N47" i="7" s="1"/>
  <c r="N41" i="7"/>
  <c r="N40" i="7"/>
  <c r="N39" i="7"/>
  <c r="N37" i="7"/>
  <c r="N35" i="7"/>
  <c r="N34" i="7"/>
  <c r="N30" i="7"/>
  <c r="N25" i="7"/>
  <c r="N21" i="7"/>
  <c r="N22" i="7" s="1"/>
  <c r="N18" i="7"/>
  <c r="N17" i="7"/>
  <c r="N15" i="7"/>
  <c r="I57" i="7"/>
  <c r="I53" i="7"/>
  <c r="I46" i="7"/>
  <c r="I41" i="7"/>
  <c r="I40" i="7"/>
  <c r="I39" i="7"/>
  <c r="I37" i="7"/>
  <c r="I35" i="7"/>
  <c r="I36" i="7" s="1"/>
  <c r="I34" i="7"/>
  <c r="I30" i="7"/>
  <c r="I31" i="7" s="1"/>
  <c r="I25" i="7"/>
  <c r="I21" i="7"/>
  <c r="I18" i="7"/>
  <c r="I17" i="7"/>
  <c r="I15" i="7"/>
  <c r="S137" i="7"/>
  <c r="S119" i="7"/>
  <c r="S117" i="7"/>
  <c r="S115" i="7"/>
  <c r="S110" i="7"/>
  <c r="S112" i="7" s="1"/>
  <c r="S96" i="7"/>
  <c r="S93" i="7"/>
  <c r="S89" i="7"/>
  <c r="S91" i="7" s="1"/>
  <c r="S81" i="7"/>
  <c r="S74" i="7"/>
  <c r="S72" i="7"/>
  <c r="S68" i="7"/>
  <c r="S66" i="7"/>
  <c r="N137" i="7"/>
  <c r="N119" i="7"/>
  <c r="N117" i="7"/>
  <c r="N115" i="7"/>
  <c r="N110" i="7"/>
  <c r="N112" i="7" s="1"/>
  <c r="N96" i="7"/>
  <c r="N93" i="7"/>
  <c r="N89" i="7"/>
  <c r="N91" i="7" s="1"/>
  <c r="N81" i="7"/>
  <c r="N74" i="7"/>
  <c r="N72" i="7"/>
  <c r="N68" i="7"/>
  <c r="N66" i="7"/>
  <c r="I119" i="7"/>
  <c r="I117" i="7"/>
  <c r="I115" i="7"/>
  <c r="I110" i="7"/>
  <c r="I112" i="7" s="1"/>
  <c r="I96" i="7"/>
  <c r="I93" i="7"/>
  <c r="I89" i="7"/>
  <c r="I91" i="7" s="1"/>
  <c r="I82" i="7"/>
  <c r="I88" i="7" s="1"/>
  <c r="I81" i="7"/>
  <c r="I74" i="7"/>
  <c r="I72" i="7"/>
  <c r="I68" i="7"/>
  <c r="I66" i="7"/>
  <c r="S59" i="7"/>
  <c r="S60" i="7" s="1"/>
  <c r="S52" i="7"/>
  <c r="S36" i="7"/>
  <c r="S31" i="7"/>
  <c r="S29" i="7"/>
  <c r="S24" i="7"/>
  <c r="S16" i="7"/>
  <c r="S14" i="7"/>
  <c r="S7" i="7"/>
  <c r="S8" i="7" s="1"/>
  <c r="N59" i="7"/>
  <c r="N60" i="7" s="1"/>
  <c r="N58" i="7"/>
  <c r="N52" i="7"/>
  <c r="N44" i="7"/>
  <c r="N31" i="7"/>
  <c r="N29" i="7"/>
  <c r="N24" i="7"/>
  <c r="N16" i="7"/>
  <c r="N14" i="7"/>
  <c r="N7" i="7"/>
  <c r="N8" i="7" s="1"/>
  <c r="I59" i="7"/>
  <c r="I60" i="7" s="1"/>
  <c r="I52" i="7"/>
  <c r="I47" i="7"/>
  <c r="I29" i="7"/>
  <c r="I24" i="7"/>
  <c r="I22" i="7"/>
  <c r="I16" i="7"/>
  <c r="I14" i="7"/>
  <c r="I7" i="7"/>
  <c r="I8" i="7" s="1"/>
  <c r="D31" i="7"/>
  <c r="E31" i="7"/>
  <c r="G31" i="7"/>
  <c r="H31" i="7"/>
  <c r="J31" i="7"/>
  <c r="E14" i="7"/>
  <c r="N20" i="7" l="1"/>
  <c r="N61" i="7" s="1"/>
  <c r="N36" i="7"/>
  <c r="S79" i="7"/>
  <c r="S138" i="7" s="1"/>
  <c r="S88" i="7"/>
  <c r="I20" i="7"/>
  <c r="S20" i="7"/>
  <c r="I79" i="7"/>
  <c r="N138" i="7"/>
  <c r="I137" i="7"/>
  <c r="I58" i="7"/>
  <c r="I44" i="7"/>
  <c r="S61" i="7"/>
  <c r="P72" i="7"/>
  <c r="S140" i="7" l="1"/>
  <c r="N140" i="7"/>
  <c r="I138" i="7"/>
  <c r="I61" i="7"/>
  <c r="O7" i="7"/>
  <c r="J7" i="7"/>
  <c r="E7" i="7"/>
  <c r="D7" i="7"/>
  <c r="I140" i="7" l="1"/>
  <c r="R137" i="7" l="1"/>
  <c r="R119" i="7"/>
  <c r="R117" i="7"/>
  <c r="R115" i="7"/>
  <c r="R112" i="7"/>
  <c r="R96" i="7"/>
  <c r="R93" i="7"/>
  <c r="R91" i="7"/>
  <c r="R88" i="7"/>
  <c r="R81" i="7"/>
  <c r="R79" i="7"/>
  <c r="R74" i="7"/>
  <c r="R72" i="7"/>
  <c r="R68" i="7"/>
  <c r="R66" i="7"/>
  <c r="R60" i="7"/>
  <c r="R58" i="7"/>
  <c r="R52" i="7"/>
  <c r="R47" i="7"/>
  <c r="R44" i="7"/>
  <c r="R36" i="7"/>
  <c r="R31" i="7"/>
  <c r="R29" i="7"/>
  <c r="R24" i="7"/>
  <c r="R22" i="7"/>
  <c r="R20" i="7"/>
  <c r="R16" i="7"/>
  <c r="R14" i="7"/>
  <c r="R8" i="7"/>
  <c r="M137" i="7"/>
  <c r="M119" i="7"/>
  <c r="M117" i="7"/>
  <c r="M115" i="7"/>
  <c r="M112" i="7"/>
  <c r="M96" i="7"/>
  <c r="M93" i="7"/>
  <c r="M91" i="7"/>
  <c r="M88" i="7"/>
  <c r="M81" i="7"/>
  <c r="M79" i="7"/>
  <c r="M74" i="7"/>
  <c r="M72" i="7"/>
  <c r="M68" i="7"/>
  <c r="M66" i="7"/>
  <c r="M60" i="7"/>
  <c r="M58" i="7"/>
  <c r="M52" i="7"/>
  <c r="M47" i="7"/>
  <c r="M44" i="7"/>
  <c r="M36" i="7"/>
  <c r="M31" i="7"/>
  <c r="M29" i="7"/>
  <c r="M24" i="7"/>
  <c r="M22" i="7"/>
  <c r="M20" i="7"/>
  <c r="M16" i="7"/>
  <c r="M14" i="7"/>
  <c r="M8" i="7"/>
  <c r="H137" i="7"/>
  <c r="H119" i="7"/>
  <c r="H117" i="7"/>
  <c r="H115" i="7"/>
  <c r="H112" i="7"/>
  <c r="H96" i="7"/>
  <c r="H93" i="7"/>
  <c r="H91" i="7"/>
  <c r="H88" i="7"/>
  <c r="H81" i="7"/>
  <c r="H79" i="7"/>
  <c r="H74" i="7"/>
  <c r="H72" i="7"/>
  <c r="H68" i="7"/>
  <c r="H66" i="7"/>
  <c r="H60" i="7"/>
  <c r="H58" i="7"/>
  <c r="H52" i="7"/>
  <c r="H47" i="7"/>
  <c r="H44" i="7"/>
  <c r="H36" i="7"/>
  <c r="H29" i="7"/>
  <c r="H24" i="7"/>
  <c r="H22" i="7"/>
  <c r="H20" i="7"/>
  <c r="H16" i="7"/>
  <c r="H14" i="7"/>
  <c r="H8" i="7"/>
  <c r="H138" i="7" l="1"/>
  <c r="R138" i="7"/>
  <c r="M138" i="7"/>
  <c r="M61" i="7"/>
  <c r="H61" i="7"/>
  <c r="R61" i="7"/>
  <c r="R140" i="7" s="1"/>
  <c r="J8" i="7"/>
  <c r="D8" i="7"/>
  <c r="E8" i="7"/>
  <c r="F8" i="7"/>
  <c r="G8" i="7"/>
  <c r="K8" i="7"/>
  <c r="L8" i="7"/>
  <c r="O8" i="7"/>
  <c r="P8" i="7"/>
  <c r="Q8" i="7"/>
  <c r="D14" i="7"/>
  <c r="G14" i="7"/>
  <c r="J14" i="7"/>
  <c r="L14" i="7"/>
  <c r="O14" i="7"/>
  <c r="Q14" i="7"/>
  <c r="D16" i="7"/>
  <c r="E16" i="7"/>
  <c r="G16" i="7"/>
  <c r="J16" i="7"/>
  <c r="L16" i="7"/>
  <c r="O16" i="7"/>
  <c r="Q16" i="7"/>
  <c r="D20" i="7"/>
  <c r="E20" i="7"/>
  <c r="G20" i="7"/>
  <c r="J20" i="7"/>
  <c r="L20" i="7"/>
  <c r="O20" i="7"/>
  <c r="Q20" i="7"/>
  <c r="D22" i="7"/>
  <c r="E22" i="7"/>
  <c r="G22" i="7"/>
  <c r="J22" i="7"/>
  <c r="L22" i="7"/>
  <c r="O22" i="7"/>
  <c r="Q22" i="7"/>
  <c r="D24" i="7"/>
  <c r="E24" i="7"/>
  <c r="G24" i="7"/>
  <c r="J24" i="7"/>
  <c r="L24" i="7"/>
  <c r="O24" i="7"/>
  <c r="Q24" i="7"/>
  <c r="D29" i="7"/>
  <c r="E29" i="7"/>
  <c r="G29" i="7"/>
  <c r="J29" i="7"/>
  <c r="L29" i="7"/>
  <c r="O29" i="7"/>
  <c r="Q29" i="7"/>
  <c r="L31" i="7"/>
  <c r="O31" i="7"/>
  <c r="Q31" i="7"/>
  <c r="D36" i="7"/>
  <c r="E36" i="7"/>
  <c r="G36" i="7"/>
  <c r="J36" i="7"/>
  <c r="L36" i="7"/>
  <c r="O36" i="7"/>
  <c r="Q36" i="7"/>
  <c r="D37" i="7"/>
  <c r="E37" i="7"/>
  <c r="E44" i="7" s="1"/>
  <c r="F37" i="7"/>
  <c r="J37" i="7"/>
  <c r="J44" i="7" s="1"/>
  <c r="O37" i="7"/>
  <c r="O44" i="7" s="1"/>
  <c r="D40" i="7"/>
  <c r="F44" i="7"/>
  <c r="G44" i="7"/>
  <c r="L44" i="7"/>
  <c r="P44" i="7"/>
  <c r="Q44" i="7"/>
  <c r="D47" i="7"/>
  <c r="E47" i="7"/>
  <c r="G47" i="7"/>
  <c r="J47" i="7"/>
  <c r="L47" i="7"/>
  <c r="O47" i="7"/>
  <c r="Q47" i="7"/>
  <c r="D52" i="7"/>
  <c r="E52" i="7"/>
  <c r="G52" i="7"/>
  <c r="J52" i="7"/>
  <c r="L52" i="7"/>
  <c r="O52" i="7"/>
  <c r="Q52" i="7"/>
  <c r="D58" i="7"/>
  <c r="E58" i="7"/>
  <c r="G58" i="7"/>
  <c r="J58" i="7"/>
  <c r="L58" i="7"/>
  <c r="O58" i="7"/>
  <c r="Q58" i="7"/>
  <c r="D59" i="7"/>
  <c r="D60" i="7" s="1"/>
  <c r="E59" i="7"/>
  <c r="E60" i="7" s="1"/>
  <c r="J59" i="7"/>
  <c r="J60" i="7" s="1"/>
  <c r="O59" i="7"/>
  <c r="O60" i="7" s="1"/>
  <c r="G60" i="7"/>
  <c r="L60" i="7"/>
  <c r="Q60" i="7"/>
  <c r="D66" i="7"/>
  <c r="E66" i="7"/>
  <c r="G66" i="7"/>
  <c r="J66" i="7"/>
  <c r="L66" i="7"/>
  <c r="O66" i="7"/>
  <c r="Q66" i="7"/>
  <c r="D68" i="7"/>
  <c r="E68" i="7"/>
  <c r="G68" i="7"/>
  <c r="J68" i="7"/>
  <c r="L68" i="7"/>
  <c r="O68" i="7"/>
  <c r="Q68" i="7"/>
  <c r="D72" i="7"/>
  <c r="E72" i="7"/>
  <c r="G72" i="7"/>
  <c r="J72" i="7"/>
  <c r="L72" i="7"/>
  <c r="O72" i="7"/>
  <c r="Q72" i="7"/>
  <c r="D74" i="7"/>
  <c r="E74" i="7"/>
  <c r="G74" i="7"/>
  <c r="J74" i="7"/>
  <c r="L74" i="7"/>
  <c r="O74" i="7"/>
  <c r="Q74" i="7"/>
  <c r="D79" i="7"/>
  <c r="E79" i="7"/>
  <c r="G79" i="7"/>
  <c r="J79" i="7"/>
  <c r="L79" i="7"/>
  <c r="O79" i="7"/>
  <c r="Q79" i="7"/>
  <c r="D81" i="7"/>
  <c r="E81" i="7"/>
  <c r="G81" i="7"/>
  <c r="J81" i="7"/>
  <c r="L81" i="7"/>
  <c r="O81" i="7"/>
  <c r="Q81" i="7"/>
  <c r="D82" i="7"/>
  <c r="D88" i="7" s="1"/>
  <c r="E82" i="7"/>
  <c r="E88" i="7" s="1"/>
  <c r="J82" i="7"/>
  <c r="J88" i="7" s="1"/>
  <c r="O82" i="7"/>
  <c r="O88" i="7" s="1"/>
  <c r="G88" i="7"/>
  <c r="K88" i="7"/>
  <c r="L88" i="7"/>
  <c r="P88" i="7"/>
  <c r="Q88" i="7"/>
  <c r="D89" i="7"/>
  <c r="E89" i="7"/>
  <c r="J89" i="7"/>
  <c r="J91" i="7" s="1"/>
  <c r="O89" i="7"/>
  <c r="O91" i="7" s="1"/>
  <c r="D91" i="7"/>
  <c r="E91" i="7"/>
  <c r="G91" i="7"/>
  <c r="K91" i="7"/>
  <c r="L91" i="7"/>
  <c r="P91" i="7"/>
  <c r="Q91" i="7"/>
  <c r="D93" i="7"/>
  <c r="E93" i="7"/>
  <c r="G93" i="7"/>
  <c r="J93" i="7"/>
  <c r="L93" i="7"/>
  <c r="O93" i="7"/>
  <c r="Q93" i="7"/>
  <c r="D96" i="7"/>
  <c r="E96" i="7"/>
  <c r="G96" i="7"/>
  <c r="J96" i="7"/>
  <c r="L96" i="7"/>
  <c r="O96" i="7"/>
  <c r="Q96" i="7"/>
  <c r="E110" i="7"/>
  <c r="J110" i="7"/>
  <c r="J112" i="7" s="1"/>
  <c r="O110" i="7"/>
  <c r="O112" i="7" s="1"/>
  <c r="D112" i="7"/>
  <c r="E112" i="7"/>
  <c r="G112" i="7"/>
  <c r="L112" i="7"/>
  <c r="P112" i="7"/>
  <c r="Q112" i="7"/>
  <c r="D115" i="7"/>
  <c r="E115" i="7"/>
  <c r="G115" i="7"/>
  <c r="J115" i="7"/>
  <c r="L115" i="7"/>
  <c r="O115" i="7"/>
  <c r="Q115" i="7"/>
  <c r="D117" i="7"/>
  <c r="E117" i="7"/>
  <c r="G117" i="7"/>
  <c r="J117" i="7"/>
  <c r="L117" i="7"/>
  <c r="O117" i="7"/>
  <c r="Q117" i="7"/>
  <c r="D119" i="7"/>
  <c r="E119" i="7"/>
  <c r="G119" i="7"/>
  <c r="J119" i="7"/>
  <c r="L119" i="7"/>
  <c r="O119" i="7"/>
  <c r="Q119" i="7"/>
  <c r="D123" i="7"/>
  <c r="E123" i="7"/>
  <c r="E137" i="7" s="1"/>
  <c r="J123" i="7"/>
  <c r="J137" i="7" s="1"/>
  <c r="O123" i="7"/>
  <c r="D137" i="7"/>
  <c r="F137" i="7"/>
  <c r="G137" i="7"/>
  <c r="K137" i="7"/>
  <c r="L137" i="7"/>
  <c r="O137" i="7"/>
  <c r="P137" i="7"/>
  <c r="Q137" i="7"/>
  <c r="D44" i="7" l="1"/>
  <c r="D61" i="7" s="1"/>
  <c r="Q138" i="7"/>
  <c r="L138" i="7"/>
  <c r="G138" i="7"/>
  <c r="O138" i="7"/>
  <c r="J138" i="7"/>
  <c r="E138" i="7"/>
  <c r="G61" i="7"/>
  <c r="Q61" i="7"/>
  <c r="M140" i="7"/>
  <c r="H140" i="7"/>
  <c r="D138" i="7"/>
  <c r="O61" i="7"/>
  <c r="L61" i="7"/>
  <c r="J61" i="7"/>
  <c r="E61" i="7"/>
  <c r="O140" i="7" l="1"/>
  <c r="G140" i="7"/>
  <c r="D140" i="7"/>
  <c r="Q140" i="7"/>
  <c r="L140" i="7"/>
  <c r="J140" i="7"/>
  <c r="E140" i="7"/>
</calcChain>
</file>

<file path=xl/sharedStrings.xml><?xml version="1.0" encoding="utf-8"?>
<sst xmlns="http://schemas.openxmlformats.org/spreadsheetml/2006/main" count="347" uniqueCount="164">
  <si>
    <t>Kód</t>
  </si>
  <si>
    <t>-</t>
  </si>
  <si>
    <t>ÚV ČR</t>
  </si>
  <si>
    <t>MZV</t>
  </si>
  <si>
    <t>MO</t>
  </si>
  <si>
    <t>MPSV</t>
  </si>
  <si>
    <t>MV</t>
  </si>
  <si>
    <t>MŽP</t>
  </si>
  <si>
    <t>GA ČR</t>
  </si>
  <si>
    <t>MPO</t>
  </si>
  <si>
    <t>MD</t>
  </si>
  <si>
    <t>MZe</t>
  </si>
  <si>
    <t>MŠMT</t>
  </si>
  <si>
    <t>MZd</t>
  </si>
  <si>
    <t>AV ČR</t>
  </si>
  <si>
    <t>**</t>
  </si>
  <si>
    <t>*</t>
  </si>
  <si>
    <t>CELKEM  INSTITUCIONÁLNÍ + ÚČELOVÉ</t>
  </si>
  <si>
    <t>ČR</t>
  </si>
  <si>
    <t>CELKEM  ÚČELOVÉ  VÝDAJE</t>
  </si>
  <si>
    <t>CELKEM</t>
  </si>
  <si>
    <t>TA ČR</t>
  </si>
  <si>
    <t>ZÉTA 2016-2024</t>
  </si>
  <si>
    <t>TJ</t>
  </si>
  <si>
    <t>GAMA2 2019-2026</t>
  </si>
  <si>
    <t>GAMA 2014-2019</t>
  </si>
  <si>
    <t>TG</t>
  </si>
  <si>
    <t>DELTA2 2019-2026</t>
  </si>
  <si>
    <t>DELTA 2014-2019</t>
  </si>
  <si>
    <t>TF</t>
  </si>
  <si>
    <t>BETA2 2017-2021</t>
  </si>
  <si>
    <t>TI</t>
  </si>
  <si>
    <t>Program podpory VaVaI se zaměř. na MSP 2019-2028</t>
  </si>
  <si>
    <t>Národní Centra kompetence 2018-2029</t>
  </si>
  <si>
    <t>TL</t>
  </si>
  <si>
    <t>THÉTA 2018-2025</t>
  </si>
  <si>
    <t>TH</t>
  </si>
  <si>
    <t>Centra kompetence 2012-2019</t>
  </si>
  <si>
    <t>TE</t>
  </si>
  <si>
    <t>OMEGA 2011-2017</t>
  </si>
  <si>
    <t>TD</t>
  </si>
  <si>
    <t>ALFA 2011-2018</t>
  </si>
  <si>
    <t>TA</t>
  </si>
  <si>
    <t>Resortní program výzkumu IV. na léta 2015-2022</t>
  </si>
  <si>
    <t>NV</t>
  </si>
  <si>
    <t>MK ČR</t>
  </si>
  <si>
    <t>Program aplik. VaV národní a kulturní identity - NAKI II 2016-2022</t>
  </si>
  <si>
    <t>DG</t>
  </si>
  <si>
    <t>Program aplik. VaV národní a kulturní identity - NAKI 2011-2017</t>
  </si>
  <si>
    <t>DF</t>
  </si>
  <si>
    <t>Podpora mezinárodních mobilit výzkumných pracovníků</t>
  </si>
  <si>
    <t>Inter-Excellence 2016-2020</t>
  </si>
  <si>
    <t>Národní program udržitelnosti II. 2016-2020</t>
  </si>
  <si>
    <t>LQ</t>
  </si>
  <si>
    <t>Národní program udržitelnosti I. 2013-2020</t>
  </si>
  <si>
    <t>LO</t>
  </si>
  <si>
    <t>Informace - základ výzkumu 2013-2017</t>
  </si>
  <si>
    <t>LR</t>
  </si>
  <si>
    <t>ERC CZ 2012-2019</t>
  </si>
  <si>
    <t>LL</t>
  </si>
  <si>
    <t>Návrat 2012-2019</t>
  </si>
  <si>
    <t>LK</t>
  </si>
  <si>
    <t>KONTAKT II 2011-2017</t>
  </si>
  <si>
    <t>LH</t>
  </si>
  <si>
    <t>INGO II 2011-2017</t>
  </si>
  <si>
    <t>LG</t>
  </si>
  <si>
    <t>EUREKA CZ 2011-2017</t>
  </si>
  <si>
    <t>LF</t>
  </si>
  <si>
    <t>EUPRO II 2011-2017</t>
  </si>
  <si>
    <t xml:space="preserve">LE </t>
  </si>
  <si>
    <t>COST CZ 2011-2017</t>
  </si>
  <si>
    <t>LD</t>
  </si>
  <si>
    <t>Projekty velkých infrastruktur pro výzkum a vývoj celkem 2011-</t>
  </si>
  <si>
    <t>Specifický výzkum</t>
  </si>
  <si>
    <t>Program aplikovaného výzkumu MZe "Země" 2017-2025</t>
  </si>
  <si>
    <t>Komplexní udržitelné systémy v zemědělství 2012 -2018 "KUS"</t>
  </si>
  <si>
    <t>QJ</t>
  </si>
  <si>
    <t>program "TRIO 2" 2019-2026</t>
  </si>
  <si>
    <t>program TRIO 2016-2021</t>
  </si>
  <si>
    <t>FV</t>
  </si>
  <si>
    <t>Podpora mezinárodní spolupráce pro získávání ERC grantů 2017-</t>
  </si>
  <si>
    <t>Juniorské granty 2015-</t>
  </si>
  <si>
    <t>GJ</t>
  </si>
  <si>
    <t>LA granty - mezinár. granty na principu hodnocení Lead Agency 2015-</t>
  </si>
  <si>
    <t>GL</t>
  </si>
  <si>
    <t>Projekty na podporu excelence v základním výzkumu 2012-2016</t>
  </si>
  <si>
    <t>GB</t>
  </si>
  <si>
    <t>Mezinárodní projekty 2007-</t>
  </si>
  <si>
    <t>GC</t>
  </si>
  <si>
    <t>Standardní projekty 1993-</t>
  </si>
  <si>
    <t>GA</t>
  </si>
  <si>
    <t>program TRANSFER 2020-2025</t>
  </si>
  <si>
    <t>program IMPAKT 2019-2027</t>
  </si>
  <si>
    <t>Bezpečnostní výzkum pro potřeby státu 2016-2021</t>
  </si>
  <si>
    <t>VH</t>
  </si>
  <si>
    <t>Program bezpečnostního výzkumu České republiky 2015-2020</t>
  </si>
  <si>
    <t>VI</t>
  </si>
  <si>
    <t>Rozvoj ozbrojených sil České republiky 2015-2022</t>
  </si>
  <si>
    <t>OW</t>
  </si>
  <si>
    <t>Obranný aplikovaný výzkum, experiment. vývoj a inovace 2011-2017</t>
  </si>
  <si>
    <t>OF</t>
  </si>
  <si>
    <r>
      <t>2020</t>
    </r>
    <r>
      <rPr>
        <sz val="11"/>
        <color indexed="8"/>
        <rFont val="Calibri"/>
        <family val="2"/>
        <charset val="238"/>
      </rPr>
      <t xml:space="preserve">   nadpož. vč. dodateč. navýšení po jednání</t>
    </r>
  </si>
  <si>
    <r>
      <t>2020</t>
    </r>
    <r>
      <rPr>
        <sz val="11"/>
        <color indexed="8"/>
        <rFont val="Calibri"/>
        <family val="2"/>
        <charset val="238"/>
      </rPr>
      <t xml:space="preserve">                   Rozpis SDV navržený poskytovateli</t>
    </r>
  </si>
  <si>
    <r>
      <t>2020</t>
    </r>
    <r>
      <rPr>
        <sz val="11"/>
        <color indexed="8"/>
        <rFont val="Calibri"/>
        <family val="2"/>
        <charset val="238"/>
      </rPr>
      <t xml:space="preserve">                   Rozpis SDV dle usn. vlády z 21.9.2016 č. 831</t>
    </r>
  </si>
  <si>
    <r>
      <t>2019</t>
    </r>
    <r>
      <rPr>
        <sz val="11"/>
        <color indexed="8"/>
        <rFont val="Calibri"/>
        <family val="2"/>
        <charset val="238"/>
      </rPr>
      <t xml:space="preserve">   nadpož. vč. dodateč. navýšení po jednání</t>
    </r>
  </si>
  <si>
    <r>
      <t>2019</t>
    </r>
    <r>
      <rPr>
        <sz val="11"/>
        <color indexed="8"/>
        <rFont val="Calibri"/>
        <family val="2"/>
        <charset val="238"/>
      </rPr>
      <t xml:space="preserve">                   Rozpis SDV navržený poskytovateli</t>
    </r>
  </si>
  <si>
    <r>
      <t>2019</t>
    </r>
    <r>
      <rPr>
        <sz val="11"/>
        <color indexed="8"/>
        <rFont val="Calibri"/>
        <family val="2"/>
        <charset val="238"/>
      </rPr>
      <t xml:space="preserve">                   Rozpis SDV dle usn. vlády z 21.9.2016 č. 831</t>
    </r>
  </si>
  <si>
    <r>
      <t>2018</t>
    </r>
    <r>
      <rPr>
        <sz val="11"/>
        <color indexed="8"/>
        <rFont val="Calibri"/>
        <family val="2"/>
        <charset val="238"/>
      </rPr>
      <t xml:space="preserve">   nadpož. vč. dodateč. navýšení po jednání</t>
    </r>
  </si>
  <si>
    <r>
      <t>2018</t>
    </r>
    <r>
      <rPr>
        <sz val="11"/>
        <color indexed="8"/>
        <rFont val="Calibri"/>
        <family val="2"/>
        <charset val="238"/>
      </rPr>
      <t xml:space="preserve">                   Rozpis SDV navržený poskytovateli</t>
    </r>
  </si>
  <si>
    <r>
      <t>2018</t>
    </r>
    <r>
      <rPr>
        <sz val="11"/>
        <color indexed="8"/>
        <rFont val="Calibri"/>
        <family val="2"/>
        <charset val="238"/>
      </rPr>
      <t xml:space="preserve">                 Rozpis SDV dle usn. vlády z 21.9.2016 č. 831</t>
    </r>
  </si>
  <si>
    <r>
      <t>2017</t>
    </r>
    <r>
      <rPr>
        <sz val="11"/>
        <color indexed="8"/>
        <rFont val="Calibri"/>
        <family val="2"/>
        <charset val="238"/>
      </rPr>
      <t xml:space="preserve"> dle zákona č. 457/2016 o SR</t>
    </r>
  </si>
  <si>
    <r>
      <rPr>
        <b/>
        <sz val="11"/>
        <color indexed="10"/>
        <rFont val="Calibri"/>
        <family val="2"/>
        <charset val="238"/>
      </rPr>
      <t xml:space="preserve">ÚČELOVÉ VÝDAJE </t>
    </r>
    <r>
      <rPr>
        <b/>
        <sz val="11"/>
        <color indexed="8"/>
        <rFont val="Calibri"/>
        <family val="2"/>
        <charset val="238"/>
      </rPr>
      <t xml:space="preserve"> //  Název aktivity</t>
    </r>
  </si>
  <si>
    <t>Rozp. kapit.</t>
  </si>
  <si>
    <t>CELKEM  INSTITUCIONÁLNÍ  VÝDAJE</t>
  </si>
  <si>
    <t>Náklady na činnost TA ČR</t>
  </si>
  <si>
    <t>Náklady na činnost AV ČR</t>
  </si>
  <si>
    <t>Rozvoj výzkumných organizací</t>
  </si>
  <si>
    <t>Věcné nebo finanční ocenění mimořádných výsledků</t>
  </si>
  <si>
    <t>Pořádání veřej. soutěží, hodnocení projektů, výzkum. záměrů</t>
  </si>
  <si>
    <t>Pořádání veř. soutěží, hodnocení projektů atd.</t>
  </si>
  <si>
    <t>Náklady na činnost MŠMT</t>
  </si>
  <si>
    <t>MS_Mezinárodní spolupráce ČR ve VaV</t>
  </si>
  <si>
    <t>EF_Operační program výzkum, vývoj, vzdělávání</t>
  </si>
  <si>
    <t>Spolufinancování OP PIK</t>
  </si>
  <si>
    <t>Náklady na činnost GA ČR</t>
  </si>
  <si>
    <t>Pořádání veř. soutěží, hodnocení projektů</t>
  </si>
  <si>
    <t>Mezinárodní spolupráce</t>
  </si>
  <si>
    <t>CELKEM  ÚV ČR</t>
  </si>
  <si>
    <t>Konsolidace rezortní výzkum</t>
  </si>
  <si>
    <t>Náklady na činnost RVVI</t>
  </si>
  <si>
    <r>
      <t>2020</t>
    </r>
    <r>
      <rPr>
        <sz val="11"/>
        <color indexed="8"/>
        <rFont val="Calibri"/>
        <family val="2"/>
        <charset val="238"/>
      </rPr>
      <t xml:space="preserve">                    Rozpis SDV dle usn. vlády z 21.9.2016 č. 831</t>
    </r>
  </si>
  <si>
    <r>
      <t>2018</t>
    </r>
    <r>
      <rPr>
        <sz val="11"/>
        <color indexed="8"/>
        <rFont val="Calibri"/>
        <family val="2"/>
        <charset val="238"/>
      </rPr>
      <t xml:space="preserve">                    Rozpis SDV dle usn. vlády z 21.9.2016 č. 831</t>
    </r>
  </si>
  <si>
    <r>
      <t>2017</t>
    </r>
    <r>
      <rPr>
        <sz val="11"/>
        <color indexed="8"/>
        <rFont val="Calibri"/>
        <family val="2"/>
        <charset val="238"/>
      </rPr>
      <t xml:space="preserve">                       dle zákona č. 457/2016 o SR</t>
    </r>
  </si>
  <si>
    <r>
      <rPr>
        <b/>
        <sz val="11"/>
        <color indexed="10"/>
        <rFont val="Calibri"/>
        <family val="2"/>
        <charset val="238"/>
      </rPr>
      <t>INSTITUCIONÁLNÍ VÝDAJE</t>
    </r>
    <r>
      <rPr>
        <b/>
        <sz val="11"/>
        <color indexed="8"/>
        <rFont val="Calibri"/>
        <family val="2"/>
        <charset val="238"/>
      </rPr>
      <t xml:space="preserve">  //  Název aktivity</t>
    </r>
  </si>
  <si>
    <t>v Kč</t>
  </si>
  <si>
    <t>výchozí návrh Rady</t>
  </si>
  <si>
    <t>2018 Nadpožadavky RVVI</t>
  </si>
  <si>
    <t>2019 Nadpožadavky RVVI</t>
  </si>
  <si>
    <t>2020 Nadpožadavky RVVI</t>
  </si>
  <si>
    <t>MSMT</t>
  </si>
  <si>
    <t>AVČR</t>
  </si>
  <si>
    <t xml:space="preserve">Nový program MD </t>
  </si>
  <si>
    <t xml:space="preserve">Rozvoj výzkumných organizací - aplikovaný výzkum </t>
  </si>
  <si>
    <t>Sektorový program/podprogram/rezortní výzkumné potřeby MD</t>
  </si>
  <si>
    <t>Sektorový program/podprogram/rezortní výzkumné potřeby MPSV</t>
  </si>
  <si>
    <t>Sektorový program/podprogram/rezortní výzkumné potřeby MŽP</t>
  </si>
  <si>
    <t>Evropa 2020</t>
  </si>
  <si>
    <t>Rozvoj výzkumných organizací - převod NPU I, NPU II usn. 1067/2015</t>
  </si>
  <si>
    <t>Rozvoj výzkumných organizací - převod NPU I, NP II usn. 1067/2015</t>
  </si>
  <si>
    <t>Rozvoj výzkumných organizací - ELI</t>
  </si>
  <si>
    <t>Ambice - podpora rozvoje obl. s význam. výsl. v NATO a EU 2020-2027</t>
  </si>
  <si>
    <r>
      <t>2018</t>
    </r>
    <r>
      <rPr>
        <sz val="11"/>
        <color theme="1"/>
        <rFont val="Calibri"/>
        <family val="2"/>
        <charset val="238"/>
        <scheme val="minor"/>
      </rPr>
      <t xml:space="preserve"> 
finální návrh RVVI (vč. nadpožadavků)</t>
    </r>
  </si>
  <si>
    <r>
      <t>2019</t>
    </r>
    <r>
      <rPr>
        <sz val="11"/>
        <color theme="1"/>
        <rFont val="Calibri"/>
        <family val="2"/>
        <charset val="238"/>
        <scheme val="minor"/>
      </rPr>
      <t xml:space="preserve"> 
finální návrh RVVI (vč. nadpožadavků)</t>
    </r>
  </si>
  <si>
    <r>
      <t>2020</t>
    </r>
    <r>
      <rPr>
        <sz val="11"/>
        <color theme="1"/>
        <rFont val="Calibri"/>
        <family val="2"/>
        <charset val="238"/>
        <scheme val="minor"/>
      </rPr>
      <t xml:space="preserve"> 
finální návrh RVVI (vč. nadpožadavků)</t>
    </r>
  </si>
  <si>
    <t>EPSILON 2015-2023**</t>
  </si>
  <si>
    <t>ÉTA 2017-2023***</t>
  </si>
  <si>
    <t>***</t>
  </si>
  <si>
    <t>TA ČR - dle rozpisu navrženého poskytovatelem je program včetně nových sektorových programů MD a MŽP</t>
  </si>
  <si>
    <t>TA ČR - dle rozpisu navrženého poskytovatelem je program vč. nového sektorového programu MPSV</t>
  </si>
  <si>
    <t>MŠMT*</t>
  </si>
  <si>
    <t>NPU I. - návrh na převod do RVO dle usn. vl. 1067/2015</t>
  </si>
  <si>
    <t>MŠMT - členění institucionál. a účel. podpory v r. 2020 bude řešeno v rámci přípravy rozpočtu VaVaI na rok 2019+ a bude dopřesněno na základě upřesnění vývoje</t>
  </si>
  <si>
    <t xml:space="preserve">   financování OP VVV v jednotl. letech 2017-2024, bude zpracován plán čerpání z ESIF v letech 2017 - 2024 v členění na financování ze zdrojů EU a SR</t>
  </si>
  <si>
    <t>Postup přípravy návrhu rozpočtu v jednotlivých letech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</si>
</sst>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EDF9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DF979"/>
        <bgColor indexed="26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 style="medium">
        <color indexed="64"/>
      </left>
      <right/>
      <top style="medium">
        <color indexed="63"/>
      </top>
      <bottom style="medium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3" fillId="0" borderId="0"/>
  </cellStyleXfs>
  <cellXfs count="309">
    <xf numFmtId="0" fontId="0" fillId="0" borderId="0" xfId="0"/>
    <xf numFmtId="0" fontId="3" fillId="0" borderId="0" xfId="1"/>
    <xf numFmtId="0" fontId="2" fillId="0" borderId="0" xfId="3"/>
    <xf numFmtId="0" fontId="2" fillId="0" borderId="0" xfId="3" applyFont="1"/>
    <xf numFmtId="0" fontId="6" fillId="0" borderId="0" xfId="3" applyFont="1"/>
    <xf numFmtId="3" fontId="1" fillId="2" borderId="15" xfId="3" applyNumberFormat="1" applyFont="1" applyFill="1" applyBorder="1"/>
    <xf numFmtId="3" fontId="1" fillId="4" borderId="15" xfId="3" applyNumberFormat="1" applyFont="1" applyFill="1" applyBorder="1"/>
    <xf numFmtId="0" fontId="1" fillId="4" borderId="9" xfId="3" applyFont="1" applyFill="1" applyBorder="1"/>
    <xf numFmtId="0" fontId="1" fillId="4" borderId="8" xfId="3" applyFont="1" applyFill="1" applyBorder="1"/>
    <xf numFmtId="3" fontId="5" fillId="2" borderId="15" xfId="1" applyNumberFormat="1" applyFont="1" applyFill="1" applyBorder="1" applyAlignment="1">
      <alignment horizontal="right"/>
    </xf>
    <xf numFmtId="3" fontId="5" fillId="5" borderId="15" xfId="1" applyNumberFormat="1" applyFont="1" applyFill="1" applyBorder="1" applyAlignment="1">
      <alignment horizontal="right"/>
    </xf>
    <xf numFmtId="3" fontId="5" fillId="6" borderId="15" xfId="1" applyNumberFormat="1" applyFont="1" applyFill="1" applyBorder="1" applyAlignment="1">
      <alignment horizontal="right"/>
    </xf>
    <xf numFmtId="3" fontId="5" fillId="7" borderId="15" xfId="1" applyNumberFormat="1" applyFont="1" applyFill="1" applyBorder="1" applyAlignment="1">
      <alignment horizontal="right"/>
    </xf>
    <xf numFmtId="0" fontId="5" fillId="8" borderId="10" xfId="1" applyFont="1" applyFill="1" applyBorder="1" applyAlignment="1">
      <alignment wrapText="1"/>
    </xf>
    <xf numFmtId="0" fontId="5" fillId="8" borderId="9" xfId="1" applyFont="1" applyFill="1" applyBorder="1" applyAlignment="1">
      <alignment horizontal="center" wrapText="1"/>
    </xf>
    <xf numFmtId="0" fontId="5" fillId="8" borderId="8" xfId="1" applyFont="1" applyFill="1" applyBorder="1"/>
    <xf numFmtId="3" fontId="7" fillId="9" borderId="15" xfId="1" applyNumberFormat="1" applyFont="1" applyFill="1" applyBorder="1" applyAlignment="1">
      <alignment wrapText="1"/>
    </xf>
    <xf numFmtId="0" fontId="7" fillId="9" borderId="10" xfId="1" applyFont="1" applyFill="1" applyBorder="1" applyAlignment="1">
      <alignment wrapText="1"/>
    </xf>
    <xf numFmtId="0" fontId="7" fillId="9" borderId="9" xfId="1" applyFont="1" applyFill="1" applyBorder="1"/>
    <xf numFmtId="0" fontId="7" fillId="9" borderId="8" xfId="1" applyFont="1" applyFill="1" applyBorder="1"/>
    <xf numFmtId="3" fontId="2" fillId="0" borderId="33" xfId="3" applyNumberFormat="1" applyBorder="1"/>
    <xf numFmtId="3" fontId="2" fillId="0" borderId="3" xfId="3" applyNumberFormat="1" applyBorder="1"/>
    <xf numFmtId="3" fontId="2" fillId="10" borderId="33" xfId="3" applyNumberFormat="1" applyFill="1" applyBorder="1"/>
    <xf numFmtId="3" fontId="2" fillId="0" borderId="33" xfId="3" applyNumberFormat="1" applyFont="1" applyFill="1" applyBorder="1"/>
    <xf numFmtId="3" fontId="2" fillId="11" borderId="33" xfId="3" applyNumberFormat="1" applyFont="1" applyFill="1" applyBorder="1"/>
    <xf numFmtId="3" fontId="2" fillId="10" borderId="3" xfId="3" applyNumberFormat="1" applyFont="1" applyFill="1" applyBorder="1"/>
    <xf numFmtId="3" fontId="2" fillId="12" borderId="33" xfId="3" applyNumberFormat="1" applyFont="1" applyFill="1" applyBorder="1"/>
    <xf numFmtId="0" fontId="4" fillId="0" borderId="6" xfId="1" applyFont="1" applyFill="1" applyBorder="1" applyAlignment="1">
      <alignment wrapText="1"/>
    </xf>
    <xf numFmtId="0" fontId="7" fillId="0" borderId="1" xfId="1" applyFont="1" applyFill="1" applyBorder="1"/>
    <xf numFmtId="0" fontId="8" fillId="0" borderId="34" xfId="1" applyFont="1" applyFill="1" applyBorder="1"/>
    <xf numFmtId="3" fontId="2" fillId="0" borderId="35" xfId="3" applyNumberFormat="1" applyBorder="1"/>
    <xf numFmtId="3" fontId="2" fillId="10" borderId="35" xfId="3" applyNumberFormat="1" applyFill="1" applyBorder="1"/>
    <xf numFmtId="3" fontId="2" fillId="0" borderId="29" xfId="3" applyNumberFormat="1" applyFont="1" applyFill="1" applyBorder="1"/>
    <xf numFmtId="3" fontId="2" fillId="11" borderId="29" xfId="3" applyNumberFormat="1" applyFont="1" applyFill="1" applyBorder="1"/>
    <xf numFmtId="3" fontId="2" fillId="10" borderId="36" xfId="3" applyNumberFormat="1" applyFont="1" applyFill="1" applyBorder="1"/>
    <xf numFmtId="3" fontId="2" fillId="12" borderId="29" xfId="3" applyNumberFormat="1" applyFont="1" applyFill="1" applyBorder="1"/>
    <xf numFmtId="0" fontId="4" fillId="0" borderId="37" xfId="1" applyFont="1" applyFill="1" applyBorder="1" applyAlignment="1">
      <alignment wrapText="1"/>
    </xf>
    <xf numFmtId="0" fontId="7" fillId="0" borderId="30" xfId="1" applyFont="1" applyFill="1" applyBorder="1"/>
    <xf numFmtId="0" fontId="8" fillId="0" borderId="38" xfId="1" applyFont="1" applyFill="1" applyBorder="1"/>
    <xf numFmtId="3" fontId="2" fillId="11" borderId="35" xfId="3" applyNumberFormat="1" applyFill="1" applyBorder="1"/>
    <xf numFmtId="3" fontId="2" fillId="10" borderId="3" xfId="3" applyNumberFormat="1" applyFill="1" applyBorder="1"/>
    <xf numFmtId="3" fontId="2" fillId="12" borderId="35" xfId="3" applyNumberFormat="1" applyFont="1" applyFill="1" applyBorder="1"/>
    <xf numFmtId="0" fontId="5" fillId="0" borderId="1" xfId="1" applyFont="1" applyFill="1" applyBorder="1" applyAlignment="1">
      <alignment horizontal="center" wrapText="1"/>
    </xf>
    <xf numFmtId="0" fontId="4" fillId="0" borderId="34" xfId="1" applyFont="1" applyFill="1" applyBorder="1"/>
    <xf numFmtId="3" fontId="2" fillId="12" borderId="35" xfId="3" applyNumberFormat="1" applyFill="1" applyBorder="1"/>
    <xf numFmtId="0" fontId="4" fillId="0" borderId="5" xfId="1" applyFont="1" applyFill="1" applyBorder="1" applyAlignment="1">
      <alignment wrapText="1"/>
    </xf>
    <xf numFmtId="0" fontId="4" fillId="0" borderId="4" xfId="1" applyFont="1" applyFill="1" applyBorder="1" applyAlignment="1">
      <alignment horizontal="center"/>
    </xf>
    <xf numFmtId="0" fontId="4" fillId="0" borderId="39" xfId="1" applyFont="1" applyFill="1" applyBorder="1"/>
    <xf numFmtId="3" fontId="2" fillId="11" borderId="36" xfId="3" applyNumberFormat="1" applyFont="1" applyFill="1" applyBorder="1"/>
    <xf numFmtId="3" fontId="2" fillId="10" borderId="29" xfId="3" applyNumberFormat="1" applyFont="1" applyFill="1" applyBorder="1"/>
    <xf numFmtId="3" fontId="2" fillId="0" borderId="36" xfId="3" applyNumberFormat="1" applyFont="1" applyFill="1" applyBorder="1"/>
    <xf numFmtId="3" fontId="2" fillId="0" borderId="35" xfId="3" applyNumberFormat="1" applyFont="1" applyFill="1" applyBorder="1"/>
    <xf numFmtId="3" fontId="2" fillId="0" borderId="35" xfId="3" applyNumberFormat="1" applyFill="1" applyBorder="1"/>
    <xf numFmtId="3" fontId="2" fillId="11" borderId="3" xfId="3" applyNumberFormat="1" applyFill="1" applyBorder="1"/>
    <xf numFmtId="0" fontId="4" fillId="0" borderId="1" xfId="1" applyFont="1" applyFill="1" applyBorder="1" applyAlignment="1">
      <alignment horizontal="center"/>
    </xf>
    <xf numFmtId="3" fontId="2" fillId="0" borderId="20" xfId="3" applyNumberFormat="1" applyFont="1" applyFill="1" applyBorder="1"/>
    <xf numFmtId="3" fontId="2" fillId="11" borderId="0" xfId="3" applyNumberFormat="1" applyFont="1" applyFill="1" applyBorder="1"/>
    <xf numFmtId="3" fontId="2" fillId="10" borderId="20" xfId="3" applyNumberFormat="1" applyFont="1" applyFill="1" applyBorder="1"/>
    <xf numFmtId="3" fontId="2" fillId="0" borderId="0" xfId="3" applyNumberFormat="1" applyFont="1" applyFill="1" applyBorder="1"/>
    <xf numFmtId="0" fontId="4" fillId="0" borderId="40" xfId="1" applyFont="1" applyFill="1" applyBorder="1" applyAlignment="1">
      <alignment wrapText="1"/>
    </xf>
    <xf numFmtId="0" fontId="2" fillId="0" borderId="35" xfId="3" applyBorder="1"/>
    <xf numFmtId="0" fontId="2" fillId="0" borderId="3" xfId="3" applyBorder="1"/>
    <xf numFmtId="0" fontId="2" fillId="10" borderId="35" xfId="3" applyFill="1" applyBorder="1"/>
    <xf numFmtId="0" fontId="2" fillId="0" borderId="29" xfId="3" applyBorder="1"/>
    <xf numFmtId="0" fontId="2" fillId="0" borderId="36" xfId="3" applyBorder="1"/>
    <xf numFmtId="0" fontId="2" fillId="10" borderId="29" xfId="3" applyFill="1" applyBorder="1"/>
    <xf numFmtId="3" fontId="2" fillId="11" borderId="29" xfId="3" applyNumberFormat="1" applyFill="1" applyBorder="1"/>
    <xf numFmtId="3" fontId="2" fillId="10" borderId="36" xfId="3" applyNumberFormat="1" applyFill="1" applyBorder="1"/>
    <xf numFmtId="3" fontId="2" fillId="12" borderId="29" xfId="3" applyNumberFormat="1" applyFill="1" applyBorder="1"/>
    <xf numFmtId="0" fontId="4" fillId="0" borderId="30" xfId="1" applyFont="1" applyFill="1" applyBorder="1" applyAlignment="1">
      <alignment horizontal="center"/>
    </xf>
    <xf numFmtId="0" fontId="4" fillId="0" borderId="38" xfId="1" applyFont="1" applyFill="1" applyBorder="1"/>
    <xf numFmtId="3" fontId="5" fillId="9" borderId="15" xfId="1" applyNumberFormat="1" applyFont="1" applyFill="1" applyBorder="1" applyAlignment="1">
      <alignment horizontal="right"/>
    </xf>
    <xf numFmtId="0" fontId="5" fillId="9" borderId="9" xfId="1" applyFont="1" applyFill="1" applyBorder="1" applyAlignment="1">
      <alignment wrapText="1"/>
    </xf>
    <xf numFmtId="0" fontId="5" fillId="9" borderId="9" xfId="1" applyFont="1" applyFill="1" applyBorder="1" applyAlignment="1">
      <alignment horizontal="center" wrapText="1"/>
    </xf>
    <xf numFmtId="0" fontId="5" fillId="9" borderId="8" xfId="1" applyFont="1" applyFill="1" applyBorder="1" applyAlignment="1">
      <alignment horizontal="left"/>
    </xf>
    <xf numFmtId="0" fontId="2" fillId="0" borderId="40" xfId="3" applyBorder="1"/>
    <xf numFmtId="0" fontId="2" fillId="0" borderId="24" xfId="3" applyBorder="1"/>
    <xf numFmtId="0" fontId="2" fillId="0" borderId="41" xfId="3" applyBorder="1"/>
    <xf numFmtId="0" fontId="5" fillId="9" borderId="8" xfId="1" applyFont="1" applyFill="1" applyBorder="1"/>
    <xf numFmtId="0" fontId="4" fillId="0" borderId="7" xfId="1" applyFont="1" applyFill="1" applyBorder="1" applyAlignment="1">
      <alignment wrapText="1"/>
    </xf>
    <xf numFmtId="0" fontId="4" fillId="0" borderId="31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center" vertical="center"/>
    </xf>
    <xf numFmtId="0" fontId="4" fillId="0" borderId="38" xfId="1" applyFont="1" applyBorder="1" applyAlignment="1">
      <alignment vertical="center"/>
    </xf>
    <xf numFmtId="3" fontId="5" fillId="11" borderId="15" xfId="1" applyNumberFormat="1" applyFont="1" applyFill="1" applyBorder="1" applyAlignment="1">
      <alignment horizontal="right"/>
    </xf>
    <xf numFmtId="0" fontId="5" fillId="9" borderId="42" xfId="1" applyFont="1" applyFill="1" applyBorder="1" applyAlignment="1">
      <alignment wrapText="1"/>
    </xf>
    <xf numFmtId="0" fontId="5" fillId="9" borderId="42" xfId="1" applyFont="1" applyFill="1" applyBorder="1" applyAlignment="1">
      <alignment horizontal="center" wrapText="1"/>
    </xf>
    <xf numFmtId="0" fontId="5" fillId="9" borderId="32" xfId="1" applyFont="1" applyFill="1" applyBorder="1"/>
    <xf numFmtId="3" fontId="2" fillId="0" borderId="29" xfId="3" applyNumberFormat="1" applyBorder="1"/>
    <xf numFmtId="3" fontId="2" fillId="10" borderId="29" xfId="3" applyNumberFormat="1" applyFill="1" applyBorder="1"/>
    <xf numFmtId="0" fontId="4" fillId="0" borderId="43" xfId="1" applyFont="1" applyBorder="1" applyAlignment="1">
      <alignment vertical="center" wrapText="1"/>
    </xf>
    <xf numFmtId="0" fontId="4" fillId="0" borderId="28" xfId="1" applyFont="1" applyBorder="1" applyAlignment="1">
      <alignment horizontal="center" vertical="center"/>
    </xf>
    <xf numFmtId="0" fontId="4" fillId="0" borderId="44" xfId="1" applyFont="1" applyBorder="1" applyAlignment="1">
      <alignment vertical="center"/>
    </xf>
    <xf numFmtId="0" fontId="4" fillId="0" borderId="6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34" xfId="1" applyFont="1" applyBorder="1" applyAlignment="1">
      <alignment vertical="center"/>
    </xf>
    <xf numFmtId="0" fontId="4" fillId="0" borderId="45" xfId="1" applyFont="1" applyBorder="1" applyAlignment="1">
      <alignment vertical="center" wrapText="1"/>
    </xf>
    <xf numFmtId="0" fontId="4" fillId="0" borderId="17" xfId="1" applyFont="1" applyBorder="1" applyAlignment="1">
      <alignment horizontal="center" vertical="center"/>
    </xf>
    <xf numFmtId="0" fontId="4" fillId="0" borderId="46" xfId="1" applyFont="1" applyBorder="1" applyAlignment="1">
      <alignment vertical="center"/>
    </xf>
    <xf numFmtId="0" fontId="4" fillId="0" borderId="31" xfId="1" applyFont="1" applyFill="1" applyBorder="1" applyAlignment="1">
      <alignment wrapText="1"/>
    </xf>
    <xf numFmtId="0" fontId="2" fillId="0" borderId="0" xfId="3" applyFont="1" applyFill="1"/>
    <xf numFmtId="3" fontId="4" fillId="0" borderId="15" xfId="1" applyNumberFormat="1" applyFont="1" applyFill="1" applyBorder="1" applyAlignment="1">
      <alignment horizontal="right"/>
    </xf>
    <xf numFmtId="3" fontId="4" fillId="10" borderId="15" xfId="1" applyNumberFormat="1" applyFont="1" applyFill="1" applyBorder="1" applyAlignment="1">
      <alignment horizontal="right"/>
    </xf>
    <xf numFmtId="3" fontId="4" fillId="12" borderId="15" xfId="1" applyNumberFormat="1" applyFont="1" applyFill="1" applyBorder="1" applyAlignment="1">
      <alignment horizontal="right"/>
    </xf>
    <xf numFmtId="0" fontId="4" fillId="0" borderId="9" xfId="1" applyFont="1" applyFill="1" applyBorder="1" applyAlignment="1">
      <alignment wrapText="1"/>
    </xf>
    <xf numFmtId="0" fontId="4" fillId="0" borderId="13" xfId="1" applyFont="1" applyFill="1" applyBorder="1" applyAlignment="1">
      <alignment horizontal="center" wrapText="1"/>
    </xf>
    <xf numFmtId="0" fontId="4" fillId="0" borderId="11" xfId="1" applyFont="1" applyFill="1" applyBorder="1"/>
    <xf numFmtId="0" fontId="5" fillId="9" borderId="13" xfId="1" applyFont="1" applyFill="1" applyBorder="1" applyAlignment="1">
      <alignment horizontal="center" wrapText="1"/>
    </xf>
    <xf numFmtId="0" fontId="4" fillId="0" borderId="38" xfId="1" applyFont="1" applyFill="1" applyBorder="1" applyAlignment="1">
      <alignment vertical="center"/>
    </xf>
    <xf numFmtId="0" fontId="5" fillId="9" borderId="10" xfId="1" applyFont="1" applyFill="1" applyBorder="1" applyAlignment="1">
      <alignment wrapText="1"/>
    </xf>
    <xf numFmtId="0" fontId="8" fillId="0" borderId="21" xfId="1" applyFont="1" applyFill="1" applyBorder="1" applyAlignment="1">
      <alignment wrapText="1"/>
    </xf>
    <xf numFmtId="0" fontId="4" fillId="0" borderId="39" xfId="1" applyFont="1" applyBorder="1" applyAlignment="1">
      <alignment vertical="center"/>
    </xf>
    <xf numFmtId="0" fontId="8" fillId="0" borderId="7" xfId="1" applyFont="1" applyFill="1" applyBorder="1" applyAlignment="1">
      <alignment wrapText="1"/>
    </xf>
    <xf numFmtId="3" fontId="2" fillId="0" borderId="29" xfId="3" applyNumberFormat="1" applyFill="1" applyBorder="1"/>
    <xf numFmtId="0" fontId="4" fillId="0" borderId="31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wrapText="1"/>
    </xf>
    <xf numFmtId="3" fontId="5" fillId="13" borderId="15" xfId="1" applyNumberFormat="1" applyFont="1" applyFill="1" applyBorder="1" applyAlignment="1">
      <alignment horizontal="right"/>
    </xf>
    <xf numFmtId="0" fontId="5" fillId="13" borderId="9" xfId="1" applyFont="1" applyFill="1" applyBorder="1" applyAlignment="1">
      <alignment wrapText="1"/>
    </xf>
    <xf numFmtId="0" fontId="5" fillId="13" borderId="9" xfId="1" applyFont="1" applyFill="1" applyBorder="1" applyAlignment="1">
      <alignment horizontal="center" wrapText="1"/>
    </xf>
    <xf numFmtId="0" fontId="5" fillId="13" borderId="8" xfId="1" applyFont="1" applyFill="1" applyBorder="1"/>
    <xf numFmtId="3" fontId="4" fillId="0" borderId="20" xfId="1" applyNumberFormat="1" applyFont="1" applyFill="1" applyBorder="1" applyAlignment="1">
      <alignment horizontal="right"/>
    </xf>
    <xf numFmtId="3" fontId="4" fillId="10" borderId="20" xfId="1" applyNumberFormat="1" applyFont="1" applyFill="1" applyBorder="1" applyAlignment="1">
      <alignment horizontal="right"/>
    </xf>
    <xf numFmtId="3" fontId="4" fillId="12" borderId="20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wrapText="1"/>
    </xf>
    <xf numFmtId="0" fontId="4" fillId="0" borderId="28" xfId="1" applyFont="1" applyFill="1" applyBorder="1" applyAlignment="1">
      <alignment horizontal="center" wrapText="1"/>
    </xf>
    <xf numFmtId="0" fontId="4" fillId="0" borderId="47" xfId="1" applyFont="1" applyFill="1" applyBorder="1"/>
    <xf numFmtId="3" fontId="2" fillId="0" borderId="22" xfId="3" applyNumberFormat="1" applyBorder="1"/>
    <xf numFmtId="3" fontId="2" fillId="10" borderId="22" xfId="3" applyNumberFormat="1" applyFill="1" applyBorder="1"/>
    <xf numFmtId="3" fontId="2" fillId="12" borderId="22" xfId="3" applyNumberFormat="1" applyFill="1" applyBorder="1"/>
    <xf numFmtId="0" fontId="4" fillId="0" borderId="48" xfId="1" applyFont="1" applyFill="1" applyBorder="1" applyAlignment="1">
      <alignment wrapText="1"/>
    </xf>
    <xf numFmtId="0" fontId="4" fillId="0" borderId="49" xfId="1" applyFont="1" applyFill="1" applyBorder="1" applyAlignment="1">
      <alignment horizontal="center"/>
    </xf>
    <xf numFmtId="0" fontId="4" fillId="0" borderId="50" xfId="1" applyFont="1" applyFill="1" applyBorder="1"/>
    <xf numFmtId="0" fontId="2" fillId="0" borderId="20" xfId="3" applyBorder="1"/>
    <xf numFmtId="0" fontId="4" fillId="0" borderId="51" xfId="1" applyFont="1" applyBorder="1" applyAlignment="1">
      <alignment horizontal="left" vertical="center" wrapText="1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vertical="center"/>
    </xf>
    <xf numFmtId="3" fontId="5" fillId="9" borderId="8" xfId="1" applyNumberFormat="1" applyFont="1" applyFill="1" applyBorder="1" applyAlignment="1">
      <alignment horizontal="right"/>
    </xf>
    <xf numFmtId="3" fontId="4" fillId="12" borderId="8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left"/>
    </xf>
    <xf numFmtId="0" fontId="2" fillId="0" borderId="15" xfId="3" applyFont="1" applyFill="1" applyBorder="1" applyAlignment="1">
      <alignment horizontal="right" vertical="center" wrapText="1"/>
    </xf>
    <xf numFmtId="0" fontId="2" fillId="10" borderId="15" xfId="3" applyFont="1" applyFill="1" applyBorder="1" applyAlignment="1">
      <alignment horizontal="right" vertical="center" wrapText="1"/>
    </xf>
    <xf numFmtId="0" fontId="2" fillId="12" borderId="54" xfId="3" applyFont="1" applyFill="1" applyBorder="1" applyAlignment="1">
      <alignment horizontal="right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1" fillId="2" borderId="15" xfId="3" applyFont="1" applyFill="1" applyBorder="1" applyAlignment="1">
      <alignment horizontal="center" vertical="top" wrapText="1"/>
    </xf>
    <xf numFmtId="0" fontId="1" fillId="3" borderId="15" xfId="3" applyFont="1" applyFill="1" applyBorder="1" applyAlignment="1">
      <alignment horizontal="center" vertical="top" wrapText="1"/>
    </xf>
    <xf numFmtId="0" fontId="1" fillId="6" borderId="15" xfId="3" applyFont="1" applyFill="1" applyBorder="1" applyAlignment="1">
      <alignment horizontal="center" vertical="top" wrapText="1"/>
    </xf>
    <xf numFmtId="0" fontId="1" fillId="14" borderId="15" xfId="3" applyFont="1" applyFill="1" applyBorder="1" applyAlignment="1">
      <alignment horizontal="center" vertical="center" wrapText="1"/>
    </xf>
    <xf numFmtId="0" fontId="7" fillId="15" borderId="27" xfId="1" applyFont="1" applyFill="1" applyBorder="1" applyAlignment="1">
      <alignment horizontal="center" vertical="center" wrapText="1"/>
    </xf>
    <xf numFmtId="0" fontId="7" fillId="15" borderId="26" xfId="1" applyFont="1" applyFill="1" applyBorder="1" applyAlignment="1">
      <alignment horizontal="center" vertical="center" wrapText="1"/>
    </xf>
    <xf numFmtId="0" fontId="7" fillId="15" borderId="56" xfId="1" applyFont="1" applyFill="1" applyBorder="1" applyAlignment="1">
      <alignment horizontal="center" vertical="center" wrapText="1"/>
    </xf>
    <xf numFmtId="0" fontId="2" fillId="0" borderId="0" xfId="3" applyAlignment="1">
      <alignment horizontal="right"/>
    </xf>
    <xf numFmtId="0" fontId="7" fillId="0" borderId="55" xfId="1" applyFont="1" applyFill="1" applyBorder="1" applyAlignment="1">
      <alignment wrapText="1"/>
    </xf>
    <xf numFmtId="0" fontId="7" fillId="0" borderId="55" xfId="1" applyFont="1" applyFill="1" applyBorder="1" applyAlignment="1"/>
    <xf numFmtId="3" fontId="7" fillId="2" borderId="15" xfId="1" applyNumberFormat="1" applyFont="1" applyFill="1" applyBorder="1" applyAlignment="1">
      <alignment wrapText="1"/>
    </xf>
    <xf numFmtId="3" fontId="7" fillId="5" borderId="15" xfId="1" applyNumberFormat="1" applyFont="1" applyFill="1" applyBorder="1" applyAlignment="1">
      <alignment wrapText="1"/>
    </xf>
    <xf numFmtId="3" fontId="7" fillId="6" borderId="15" xfId="1" applyNumberFormat="1" applyFont="1" applyFill="1" applyBorder="1" applyAlignment="1">
      <alignment wrapText="1"/>
    </xf>
    <xf numFmtId="3" fontId="7" fillId="7" borderId="15" xfId="1" applyNumberFormat="1" applyFont="1" applyFill="1" applyBorder="1" applyAlignment="1">
      <alignment wrapText="1"/>
    </xf>
    <xf numFmtId="0" fontId="7" fillId="8" borderId="9" xfId="1" applyFont="1" applyFill="1" applyBorder="1" applyAlignment="1">
      <alignment wrapText="1"/>
    </xf>
    <xf numFmtId="0" fontId="7" fillId="8" borderId="9" xfId="1" applyFont="1" applyFill="1" applyBorder="1" applyAlignment="1"/>
    <xf numFmtId="0" fontId="7" fillId="8" borderId="8" xfId="1" applyFont="1" applyFill="1" applyBorder="1" applyAlignment="1"/>
    <xf numFmtId="3" fontId="7" fillId="9" borderId="16" xfId="1" applyNumberFormat="1" applyFont="1" applyFill="1" applyBorder="1" applyAlignment="1">
      <alignment wrapText="1"/>
    </xf>
    <xf numFmtId="0" fontId="7" fillId="9" borderId="55" xfId="1" applyFont="1" applyFill="1" applyBorder="1" applyAlignment="1">
      <alignment wrapText="1"/>
    </xf>
    <xf numFmtId="0" fontId="7" fillId="9" borderId="55" xfId="1" applyFont="1" applyFill="1" applyBorder="1"/>
    <xf numFmtId="0" fontId="7" fillId="9" borderId="54" xfId="1" applyFont="1" applyFill="1" applyBorder="1"/>
    <xf numFmtId="0" fontId="4" fillId="0" borderId="31" xfId="1" applyFont="1" applyFill="1" applyBorder="1"/>
    <xf numFmtId="0" fontId="8" fillId="0" borderId="36" xfId="1" applyFont="1" applyFill="1" applyBorder="1"/>
    <xf numFmtId="3" fontId="5" fillId="9" borderId="15" xfId="1" applyNumberFormat="1" applyFont="1" applyFill="1" applyBorder="1" applyAlignment="1">
      <alignment horizontal="right" wrapText="1"/>
    </xf>
    <xf numFmtId="0" fontId="7" fillId="9" borderId="9" xfId="1" applyFont="1" applyFill="1" applyBorder="1" applyAlignment="1"/>
    <xf numFmtId="0" fontId="7" fillId="9" borderId="8" xfId="1" applyFont="1" applyFill="1" applyBorder="1" applyAlignment="1"/>
    <xf numFmtId="0" fontId="4" fillId="0" borderId="2" xfId="1" applyFont="1" applyFill="1" applyBorder="1"/>
    <xf numFmtId="0" fontId="8" fillId="0" borderId="4" xfId="1" applyFont="1" applyFill="1" applyBorder="1" applyAlignment="1"/>
    <xf numFmtId="0" fontId="8" fillId="0" borderId="39" xfId="1" applyFont="1" applyFill="1" applyBorder="1" applyAlignment="1">
      <alignment vertical="center"/>
    </xf>
    <xf numFmtId="0" fontId="7" fillId="9" borderId="9" xfId="1" applyFont="1" applyFill="1" applyBorder="1" applyAlignment="1">
      <alignment wrapText="1"/>
    </xf>
    <xf numFmtId="0" fontId="4" fillId="0" borderId="7" xfId="1" applyFont="1" applyFill="1" applyBorder="1"/>
    <xf numFmtId="0" fontId="8" fillId="0" borderId="3" xfId="1" applyFont="1" applyFill="1" applyBorder="1"/>
    <xf numFmtId="0" fontId="8" fillId="0" borderId="3" xfId="1" applyFont="1" applyFill="1" applyBorder="1" applyAlignment="1">
      <alignment horizontal="left"/>
    </xf>
    <xf numFmtId="0" fontId="8" fillId="0" borderId="34" xfId="1" applyFont="1" applyFill="1" applyBorder="1" applyAlignment="1">
      <alignment horizontal="left"/>
    </xf>
    <xf numFmtId="3" fontId="7" fillId="9" borderId="15" xfId="1" applyNumberFormat="1" applyFont="1" applyFill="1" applyBorder="1" applyAlignment="1">
      <alignment horizontal="right" wrapText="1"/>
    </xf>
    <xf numFmtId="0" fontId="8" fillId="0" borderId="3" xfId="1" applyFont="1" applyFill="1" applyBorder="1" applyAlignment="1"/>
    <xf numFmtId="0" fontId="8" fillId="0" borderId="34" xfId="1" applyFont="1" applyFill="1" applyBorder="1" applyAlignment="1"/>
    <xf numFmtId="0" fontId="8" fillId="0" borderId="36" xfId="1" applyFont="1" applyFill="1" applyBorder="1" applyAlignment="1"/>
    <xf numFmtId="0" fontId="8" fillId="0" borderId="38" xfId="1" applyFont="1" applyFill="1" applyBorder="1" applyAlignment="1"/>
    <xf numFmtId="3" fontId="7" fillId="11" borderId="15" xfId="1" applyNumberFormat="1" applyFont="1" applyFill="1" applyBorder="1" applyAlignment="1">
      <alignment horizontal="right" wrapText="1"/>
    </xf>
    <xf numFmtId="0" fontId="4" fillId="0" borderId="7" xfId="1" applyFont="1" applyBorder="1" applyAlignment="1">
      <alignment vertical="center"/>
    </xf>
    <xf numFmtId="3" fontId="1" fillId="9" borderId="15" xfId="3" applyNumberFormat="1" applyFont="1" applyFill="1" applyBorder="1"/>
    <xf numFmtId="3" fontId="2" fillId="10" borderId="33" xfId="3" applyNumberFormat="1" applyFont="1" applyFill="1" applyBorder="1"/>
    <xf numFmtId="0" fontId="4" fillId="0" borderId="57" xfId="1" applyFont="1" applyFill="1" applyBorder="1" applyAlignment="1">
      <alignment vertical="center" wrapText="1"/>
    </xf>
    <xf numFmtId="0" fontId="8" fillId="0" borderId="58" xfId="1" applyFont="1" applyFill="1" applyBorder="1"/>
    <xf numFmtId="0" fontId="8" fillId="0" borderId="44" xfId="1" applyFont="1" applyFill="1" applyBorder="1"/>
    <xf numFmtId="3" fontId="1" fillId="9" borderId="23" xfId="3" applyNumberFormat="1" applyFont="1" applyFill="1" applyBorder="1"/>
    <xf numFmtId="0" fontId="7" fillId="9" borderId="42" xfId="1" applyFont="1" applyFill="1" applyBorder="1" applyAlignment="1">
      <alignment wrapText="1"/>
    </xf>
    <xf numFmtId="0" fontId="7" fillId="9" borderId="42" xfId="1" applyFont="1" applyFill="1" applyBorder="1"/>
    <xf numFmtId="0" fontId="7" fillId="9" borderId="32" xfId="1" applyFont="1" applyFill="1" applyBorder="1"/>
    <xf numFmtId="3" fontId="8" fillId="0" borderId="33" xfId="1" applyNumberFormat="1" applyFont="1" applyFill="1" applyBorder="1" applyAlignment="1">
      <alignment wrapText="1"/>
    </xf>
    <xf numFmtId="3" fontId="8" fillId="10" borderId="33" xfId="1" applyNumberFormat="1" applyFont="1" applyFill="1" applyBorder="1" applyAlignment="1">
      <alignment wrapText="1"/>
    </xf>
    <xf numFmtId="3" fontId="5" fillId="13" borderId="59" xfId="1" applyNumberFormat="1" applyFont="1" applyFill="1" applyBorder="1" applyAlignment="1">
      <alignment horizontal="right" wrapText="1"/>
    </xf>
    <xf numFmtId="0" fontId="7" fillId="13" borderId="60" xfId="1" applyFont="1" applyFill="1" applyBorder="1" applyAlignment="1">
      <alignment wrapText="1"/>
    </xf>
    <xf numFmtId="0" fontId="7" fillId="13" borderId="60" xfId="1" applyFont="1" applyFill="1" applyBorder="1" applyAlignment="1"/>
    <xf numFmtId="0" fontId="7" fillId="13" borderId="61" xfId="1" applyFont="1" applyFill="1" applyBorder="1" applyAlignment="1"/>
    <xf numFmtId="0" fontId="8" fillId="0" borderId="0" xfId="1" applyFont="1" applyFill="1" applyBorder="1" applyAlignment="1"/>
    <xf numFmtId="0" fontId="8" fillId="0" borderId="62" xfId="1" applyFont="1" applyFill="1" applyBorder="1" applyAlignment="1"/>
    <xf numFmtId="0" fontId="4" fillId="0" borderId="63" xfId="1" applyFont="1" applyFill="1" applyBorder="1"/>
    <xf numFmtId="0" fontId="8" fillId="0" borderId="64" xfId="1" applyFont="1" applyFill="1" applyBorder="1" applyAlignment="1"/>
    <xf numFmtId="0" fontId="4" fillId="0" borderId="51" xfId="1" applyFont="1" applyFill="1" applyBorder="1"/>
    <xf numFmtId="0" fontId="8" fillId="0" borderId="65" xfId="1" applyFont="1" applyFill="1" applyBorder="1" applyAlignment="1"/>
    <xf numFmtId="0" fontId="8" fillId="0" borderId="53" xfId="1" applyFont="1" applyFill="1" applyBorder="1" applyAlignment="1"/>
    <xf numFmtId="0" fontId="7" fillId="9" borderId="8" xfId="1" applyFont="1" applyFill="1" applyBorder="1" applyAlignment="1">
      <alignment wrapText="1"/>
    </xf>
    <xf numFmtId="3" fontId="8" fillId="10" borderId="66" xfId="4" applyNumberFormat="1" applyFont="1" applyFill="1" applyBorder="1" applyAlignment="1">
      <alignment horizontal="right" vertical="center" wrapText="1"/>
    </xf>
    <xf numFmtId="3" fontId="8" fillId="12" borderId="66" xfId="4" applyNumberFormat="1" applyFont="1" applyFill="1" applyBorder="1" applyAlignment="1">
      <alignment horizontal="right" vertical="center" wrapText="1"/>
    </xf>
    <xf numFmtId="0" fontId="4" fillId="0" borderId="21" xfId="1" applyFont="1" applyFill="1" applyBorder="1"/>
    <xf numFmtId="0" fontId="8" fillId="0" borderId="2" xfId="1" applyFont="1" applyFill="1" applyBorder="1"/>
    <xf numFmtId="0" fontId="8" fillId="0" borderId="39" xfId="1" applyFont="1" applyFill="1" applyBorder="1"/>
    <xf numFmtId="3" fontId="2" fillId="10" borderId="66" xfId="3" applyNumberFormat="1" applyFill="1" applyBorder="1"/>
    <xf numFmtId="0" fontId="8" fillId="0" borderId="25" xfId="1" applyFont="1" applyFill="1" applyBorder="1"/>
    <xf numFmtId="0" fontId="8" fillId="0" borderId="0" xfId="1" applyFont="1" applyFill="1" applyBorder="1"/>
    <xf numFmtId="0" fontId="8" fillId="0" borderId="41" xfId="1" applyFont="1" applyFill="1" applyBorder="1"/>
    <xf numFmtId="3" fontId="2" fillId="0" borderId="19" xfId="3" applyNumberFormat="1" applyBorder="1"/>
    <xf numFmtId="3" fontId="2" fillId="10" borderId="19" xfId="3" applyNumberFormat="1" applyFill="1" applyBorder="1"/>
    <xf numFmtId="3" fontId="2" fillId="10" borderId="67" xfId="3" applyNumberFormat="1" applyFill="1" applyBorder="1"/>
    <xf numFmtId="3" fontId="2" fillId="12" borderId="19" xfId="3" applyNumberFormat="1" applyFill="1" applyBorder="1"/>
    <xf numFmtId="0" fontId="8" fillId="0" borderId="18" xfId="1" applyFont="1" applyFill="1" applyBorder="1"/>
    <xf numFmtId="0" fontId="8" fillId="0" borderId="46" xfId="1" applyFont="1" applyFill="1" applyBorder="1"/>
    <xf numFmtId="0" fontId="7" fillId="15" borderId="14" xfId="1" applyFont="1" applyFill="1" applyBorder="1" applyAlignment="1">
      <alignment horizontal="center" vertical="center" wrapText="1"/>
    </xf>
    <xf numFmtId="0" fontId="7" fillId="15" borderId="9" xfId="1" applyFont="1" applyFill="1" applyBorder="1" applyAlignment="1">
      <alignment horizontal="center" vertical="center" wrapText="1"/>
    </xf>
    <xf numFmtId="0" fontId="7" fillId="15" borderId="11" xfId="1" applyFont="1" applyFill="1" applyBorder="1" applyAlignment="1">
      <alignment horizontal="center" vertical="center" wrapText="1"/>
    </xf>
    <xf numFmtId="0" fontId="11" fillId="0" borderId="0" xfId="3" applyFont="1" applyAlignment="1">
      <alignment horizont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/>
    </xf>
    <xf numFmtId="3" fontId="2" fillId="0" borderId="0" xfId="3" applyNumberFormat="1"/>
    <xf numFmtId="0" fontId="0" fillId="0" borderId="0" xfId="3" applyFont="1"/>
    <xf numFmtId="0" fontId="8" fillId="0" borderId="39" xfId="1" applyFont="1" applyFill="1" applyBorder="1" applyAlignment="1">
      <alignment horizontal="left"/>
    </xf>
    <xf numFmtId="0" fontId="8" fillId="0" borderId="1" xfId="1" applyFont="1" applyFill="1" applyBorder="1" applyAlignment="1">
      <alignment horizontal="left"/>
    </xf>
    <xf numFmtId="0" fontId="8" fillId="0" borderId="1" xfId="1" applyFont="1" applyFill="1" applyBorder="1" applyAlignment="1"/>
    <xf numFmtId="0" fontId="8" fillId="0" borderId="1" xfId="1" applyFont="1" applyFill="1" applyBorder="1"/>
    <xf numFmtId="3" fontId="4" fillId="0" borderId="35" xfId="3" applyNumberFormat="1" applyFont="1" applyFill="1" applyBorder="1"/>
    <xf numFmtId="49" fontId="8" fillId="0" borderId="55" xfId="1" applyNumberFormat="1" applyFont="1" applyFill="1" applyBorder="1" applyAlignment="1">
      <alignment horizontal="center" vertical="center" wrapText="1"/>
    </xf>
    <xf numFmtId="3" fontId="1" fillId="0" borderId="0" xfId="3" applyNumberFormat="1" applyFont="1"/>
    <xf numFmtId="3" fontId="0" fillId="0" borderId="0" xfId="3" applyNumberFormat="1" applyFont="1"/>
    <xf numFmtId="0" fontId="8" fillId="0" borderId="17" xfId="1" applyFont="1" applyFill="1" applyBorder="1"/>
    <xf numFmtId="0" fontId="4" fillId="0" borderId="45" xfId="1" applyFont="1" applyFill="1" applyBorder="1" applyAlignment="1">
      <alignment vertical="center" wrapText="1"/>
    </xf>
    <xf numFmtId="3" fontId="2" fillId="12" borderId="19" xfId="3" applyNumberFormat="1" applyFont="1" applyFill="1" applyBorder="1"/>
    <xf numFmtId="3" fontId="2" fillId="10" borderId="19" xfId="3" applyNumberFormat="1" applyFont="1" applyFill="1" applyBorder="1"/>
    <xf numFmtId="3" fontId="2" fillId="0" borderId="19" xfId="3" applyNumberFormat="1" applyFont="1" applyFill="1" applyBorder="1"/>
    <xf numFmtId="3" fontId="8" fillId="0" borderId="19" xfId="1" applyNumberFormat="1" applyFont="1" applyFill="1" applyBorder="1" applyAlignment="1">
      <alignment wrapText="1"/>
    </xf>
    <xf numFmtId="3" fontId="8" fillId="10" borderId="19" xfId="1" applyNumberFormat="1" applyFont="1" applyFill="1" applyBorder="1" applyAlignment="1">
      <alignment wrapText="1"/>
    </xf>
    <xf numFmtId="3" fontId="8" fillId="0" borderId="35" xfId="4" applyNumberFormat="1" applyFont="1" applyFill="1" applyBorder="1" applyAlignment="1">
      <alignment horizontal="right" vertical="center" wrapText="1"/>
    </xf>
    <xf numFmtId="3" fontId="8" fillId="10" borderId="35" xfId="4" applyNumberFormat="1" applyFont="1" applyFill="1" applyBorder="1" applyAlignment="1">
      <alignment horizontal="right" vertical="center" wrapText="1"/>
    </xf>
    <xf numFmtId="3" fontId="2" fillId="0" borderId="0" xfId="3" applyNumberFormat="1" applyFill="1"/>
    <xf numFmtId="0" fontId="1" fillId="16" borderId="15" xfId="3" applyFont="1" applyFill="1" applyBorder="1" applyAlignment="1">
      <alignment horizontal="center" vertical="top" wrapText="1"/>
    </xf>
    <xf numFmtId="3" fontId="7" fillId="16" borderId="15" xfId="1" applyNumberFormat="1" applyFont="1" applyFill="1" applyBorder="1" applyAlignment="1">
      <alignment wrapText="1"/>
    </xf>
    <xf numFmtId="3" fontId="5" fillId="16" borderId="15" xfId="1" applyNumberFormat="1" applyFont="1" applyFill="1" applyBorder="1" applyAlignment="1">
      <alignment horizontal="right"/>
    </xf>
    <xf numFmtId="3" fontId="1" fillId="16" borderId="15" xfId="3" applyNumberFormat="1" applyFont="1" applyFill="1" applyBorder="1"/>
    <xf numFmtId="0" fontId="5" fillId="17" borderId="8" xfId="1" applyFont="1" applyFill="1" applyBorder="1"/>
    <xf numFmtId="0" fontId="5" fillId="17" borderId="9" xfId="1" applyFont="1" applyFill="1" applyBorder="1" applyAlignment="1">
      <alignment horizontal="center" wrapText="1"/>
    </xf>
    <xf numFmtId="0" fontId="5" fillId="17" borderId="10" xfId="1" applyFont="1" applyFill="1" applyBorder="1" applyAlignment="1">
      <alignment wrapText="1"/>
    </xf>
    <xf numFmtId="3" fontId="5" fillId="17" borderId="8" xfId="1" applyNumberFormat="1" applyFont="1" applyFill="1" applyBorder="1" applyAlignment="1">
      <alignment horizontal="right"/>
    </xf>
    <xf numFmtId="3" fontId="5" fillId="17" borderId="15" xfId="1" applyNumberFormat="1" applyFont="1" applyFill="1" applyBorder="1" applyAlignment="1">
      <alignment horizontal="right"/>
    </xf>
    <xf numFmtId="3" fontId="5" fillId="17" borderId="9" xfId="1" applyNumberFormat="1" applyFont="1" applyFill="1" applyBorder="1" applyAlignment="1">
      <alignment horizontal="right"/>
    </xf>
    <xf numFmtId="3" fontId="5" fillId="17" borderId="10" xfId="1" applyNumberFormat="1" applyFont="1" applyFill="1" applyBorder="1" applyAlignment="1">
      <alignment horizontal="right"/>
    </xf>
    <xf numFmtId="0" fontId="4" fillId="0" borderId="6" xfId="1" applyFont="1" applyFill="1" applyBorder="1" applyAlignment="1">
      <alignment horizontal="left" wrapText="1"/>
    </xf>
    <xf numFmtId="3" fontId="2" fillId="0" borderId="67" xfId="3" applyNumberFormat="1" applyBorder="1"/>
    <xf numFmtId="3" fontId="2" fillId="0" borderId="66" xfId="3" applyNumberFormat="1" applyBorder="1"/>
    <xf numFmtId="3" fontId="8" fillId="0" borderId="68" xfId="4" applyNumberFormat="1" applyFont="1" applyFill="1" applyBorder="1" applyAlignment="1">
      <alignment horizontal="right" vertical="center" wrapText="1"/>
    </xf>
    <xf numFmtId="3" fontId="7" fillId="9" borderId="8" xfId="1" applyNumberFormat="1" applyFont="1" applyFill="1" applyBorder="1" applyAlignment="1">
      <alignment wrapText="1"/>
    </xf>
    <xf numFmtId="3" fontId="8" fillId="0" borderId="67" xfId="1" applyNumberFormat="1" applyFont="1" applyFill="1" applyBorder="1" applyAlignment="1">
      <alignment wrapText="1"/>
    </xf>
    <xf numFmtId="3" fontId="1" fillId="9" borderId="8" xfId="3" applyNumberFormat="1" applyFont="1" applyFill="1" applyBorder="1"/>
    <xf numFmtId="3" fontId="2" fillId="0" borderId="68" xfId="3" applyNumberFormat="1" applyBorder="1"/>
    <xf numFmtId="3" fontId="2" fillId="0" borderId="69" xfId="3" applyNumberFormat="1" applyBorder="1"/>
    <xf numFmtId="3" fontId="5" fillId="13" borderId="70" xfId="1" applyNumberFormat="1" applyFont="1" applyFill="1" applyBorder="1" applyAlignment="1">
      <alignment horizontal="right" wrapText="1"/>
    </xf>
    <xf numFmtId="3" fontId="8" fillId="0" borderId="69" xfId="1" applyNumberFormat="1" applyFont="1" applyFill="1" applyBorder="1" applyAlignment="1">
      <alignment wrapText="1"/>
    </xf>
    <xf numFmtId="3" fontId="5" fillId="9" borderId="8" xfId="1" applyNumberFormat="1" applyFont="1" applyFill="1" applyBorder="1" applyAlignment="1">
      <alignment horizontal="right" wrapText="1"/>
    </xf>
    <xf numFmtId="3" fontId="1" fillId="9" borderId="32" xfId="3" applyNumberFormat="1" applyFont="1" applyFill="1" applyBorder="1"/>
    <xf numFmtId="3" fontId="7" fillId="9" borderId="8" xfId="1" applyNumberFormat="1" applyFont="1" applyFill="1" applyBorder="1" applyAlignment="1">
      <alignment horizontal="right" wrapText="1"/>
    </xf>
    <xf numFmtId="3" fontId="2" fillId="0" borderId="69" xfId="3" applyNumberFormat="1" applyFont="1" applyFill="1" applyBorder="1"/>
    <xf numFmtId="3" fontId="2" fillId="0" borderId="68" xfId="3" applyNumberFormat="1" applyFill="1" applyBorder="1"/>
    <xf numFmtId="3" fontId="7" fillId="9" borderId="54" xfId="1" applyNumberFormat="1" applyFont="1" applyFill="1" applyBorder="1" applyAlignment="1">
      <alignment wrapText="1"/>
    </xf>
    <xf numFmtId="3" fontId="7" fillId="16" borderId="8" xfId="1" applyNumberFormat="1" applyFont="1" applyFill="1" applyBorder="1" applyAlignment="1">
      <alignment wrapText="1"/>
    </xf>
    <xf numFmtId="0" fontId="1" fillId="16" borderId="8" xfId="3" applyFont="1" applyFill="1" applyBorder="1" applyAlignment="1">
      <alignment horizontal="center" vertical="top" wrapText="1"/>
    </xf>
    <xf numFmtId="3" fontId="4" fillId="0" borderId="71" xfId="1" applyNumberFormat="1" applyFont="1" applyFill="1" applyBorder="1" applyAlignment="1">
      <alignment horizontal="right"/>
    </xf>
    <xf numFmtId="3" fontId="4" fillId="0" borderId="8" xfId="1" applyNumberFormat="1" applyFont="1" applyFill="1" applyBorder="1" applyAlignment="1">
      <alignment horizontal="right"/>
    </xf>
    <xf numFmtId="0" fontId="2" fillId="0" borderId="66" xfId="3" applyBorder="1"/>
    <xf numFmtId="0" fontId="2" fillId="0" borderId="71" xfId="3" applyBorder="1"/>
    <xf numFmtId="3" fontId="2" fillId="0" borderId="72" xfId="3" applyNumberFormat="1" applyBorder="1"/>
    <xf numFmtId="3" fontId="5" fillId="13" borderId="8" xfId="1" applyNumberFormat="1" applyFont="1" applyFill="1" applyBorder="1" applyAlignment="1">
      <alignment horizontal="right"/>
    </xf>
    <xf numFmtId="3" fontId="2" fillId="0" borderId="66" xfId="3" applyNumberFormat="1" applyFill="1" applyBorder="1"/>
    <xf numFmtId="0" fontId="2" fillId="0" borderId="68" xfId="3" applyBorder="1"/>
    <xf numFmtId="3" fontId="2" fillId="0" borderId="71" xfId="3" applyNumberFormat="1" applyFont="1" applyFill="1" applyBorder="1"/>
    <xf numFmtId="3" fontId="2" fillId="0" borderId="66" xfId="3" applyNumberFormat="1" applyFont="1" applyFill="1" applyBorder="1"/>
    <xf numFmtId="3" fontId="5" fillId="16" borderId="8" xfId="1" applyNumberFormat="1" applyFont="1" applyFill="1" applyBorder="1" applyAlignment="1">
      <alignment horizontal="right"/>
    </xf>
    <xf numFmtId="0" fontId="1" fillId="18" borderId="15" xfId="3" applyFont="1" applyFill="1" applyBorder="1" applyAlignment="1">
      <alignment horizontal="center" vertical="top" wrapText="1"/>
    </xf>
    <xf numFmtId="3" fontId="7" fillId="18" borderId="15" xfId="1" applyNumberFormat="1" applyFont="1" applyFill="1" applyBorder="1" applyAlignment="1">
      <alignment wrapText="1"/>
    </xf>
    <xf numFmtId="3" fontId="5" fillId="18" borderId="15" xfId="1" applyNumberFormat="1" applyFont="1" applyFill="1" applyBorder="1" applyAlignment="1">
      <alignment horizontal="right"/>
    </xf>
    <xf numFmtId="3" fontId="1" fillId="18" borderId="15" xfId="3" applyNumberFormat="1" applyFont="1" applyFill="1" applyBorder="1"/>
    <xf numFmtId="3" fontId="2" fillId="0" borderId="67" xfId="3" applyNumberFormat="1" applyFill="1" applyBorder="1"/>
    <xf numFmtId="3" fontId="8" fillId="0" borderId="66" xfId="4" applyNumberFormat="1" applyFont="1" applyFill="1" applyBorder="1" applyAlignment="1">
      <alignment horizontal="right" vertical="center" wrapText="1"/>
    </xf>
    <xf numFmtId="3" fontId="2" fillId="0" borderId="19" xfId="3" applyNumberFormat="1" applyFill="1" applyBorder="1"/>
    <xf numFmtId="0" fontId="2" fillId="0" borderId="29" xfId="3" applyFill="1" applyBorder="1"/>
    <xf numFmtId="3" fontId="2" fillId="0" borderId="22" xfId="3" applyNumberFormat="1" applyFill="1" applyBorder="1"/>
    <xf numFmtId="0" fontId="2" fillId="0" borderId="35" xfId="3" applyFill="1" applyBorder="1"/>
    <xf numFmtId="3" fontId="2" fillId="0" borderId="33" xfId="3" applyNumberFormat="1" applyFill="1" applyBorder="1"/>
    <xf numFmtId="3" fontId="2" fillId="0" borderId="36" xfId="3" applyNumberFormat="1" applyFill="1" applyBorder="1"/>
    <xf numFmtId="3" fontId="2" fillId="0" borderId="3" xfId="3" applyNumberFormat="1" applyFill="1" applyBorder="1"/>
    <xf numFmtId="3" fontId="2" fillId="0" borderId="3" xfId="3" applyNumberFormat="1" applyFont="1" applyFill="1" applyBorder="1"/>
    <xf numFmtId="3" fontId="3" fillId="0" borderId="0" xfId="1" applyNumberFormat="1"/>
    <xf numFmtId="3" fontId="1" fillId="0" borderId="15" xfId="3" applyNumberFormat="1" applyFont="1" applyFill="1" applyBorder="1"/>
    <xf numFmtId="3" fontId="2" fillId="11" borderId="20" xfId="3" applyNumberFormat="1" applyFill="1" applyBorder="1"/>
    <xf numFmtId="3" fontId="2" fillId="11" borderId="22" xfId="3" applyNumberFormat="1" applyFill="1" applyBorder="1"/>
    <xf numFmtId="0" fontId="12" fillId="0" borderId="0" xfId="3" applyFont="1"/>
  </cellXfs>
  <cellStyles count="5">
    <cellStyle name="Normální" xfId="0" builtinId="0"/>
    <cellStyle name="Normální 2" xfId="1"/>
    <cellStyle name="Normální 3" xfId="3"/>
    <cellStyle name="normální_VaV -17" xfId="4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2"/>
  <sheetViews>
    <sheetView tabSelected="1" zoomScaleNormal="100" workbookViewId="0">
      <pane ySplit="4" topLeftCell="A5" activePane="bottomLeft" state="frozen"/>
      <selection pane="bottomLeft" activeCell="H122" sqref="H122"/>
    </sheetView>
  </sheetViews>
  <sheetFormatPr defaultColWidth="9.42578125" defaultRowHeight="15" x14ac:dyDescent="0.25"/>
  <cols>
    <col min="1" max="1" width="7.7109375" style="2" customWidth="1"/>
    <col min="2" max="2" width="5.7109375" style="2" customWidth="1"/>
    <col min="3" max="3" width="61.5703125" style="2" customWidth="1"/>
    <col min="4" max="9" width="14.7109375" style="2" customWidth="1"/>
    <col min="10" max="19" width="14.7109375" style="1" customWidth="1"/>
    <col min="20" max="20" width="9.140625" style="2" customWidth="1"/>
    <col min="21" max="21" width="9.7109375" style="2" customWidth="1"/>
    <col min="22" max="230" width="9.140625" style="2" customWidth="1"/>
    <col min="231" max="16384" width="9.42578125" style="2"/>
  </cols>
  <sheetData>
    <row r="1" spans="1:19" ht="23.25" customHeight="1" x14ac:dyDescent="0.3">
      <c r="A1" s="308" t="s">
        <v>163</v>
      </c>
    </row>
    <row r="2" spans="1:19" ht="6" customHeight="1" x14ac:dyDescent="0.25"/>
    <row r="3" spans="1:19" ht="30" customHeight="1" thickBot="1" x14ac:dyDescent="0.3">
      <c r="A3" s="228"/>
      <c r="B3" s="227"/>
      <c r="C3" s="227"/>
      <c r="E3" s="226" t="s">
        <v>135</v>
      </c>
      <c r="F3" s="226"/>
      <c r="G3" s="151"/>
      <c r="H3" s="151"/>
      <c r="I3" s="151"/>
      <c r="J3" s="226" t="s">
        <v>135</v>
      </c>
      <c r="K3" s="226"/>
      <c r="L3" s="151"/>
      <c r="M3" s="151"/>
      <c r="N3" s="151"/>
      <c r="O3" s="226" t="s">
        <v>135</v>
      </c>
      <c r="P3" s="226"/>
      <c r="Q3" s="151" t="s">
        <v>134</v>
      </c>
      <c r="R3" s="151"/>
      <c r="S3" s="151"/>
    </row>
    <row r="4" spans="1:19" ht="60" customHeight="1" thickBot="1" x14ac:dyDescent="0.3">
      <c r="A4" s="225" t="s">
        <v>112</v>
      </c>
      <c r="B4" s="224" t="s">
        <v>0</v>
      </c>
      <c r="C4" s="223" t="s">
        <v>133</v>
      </c>
      <c r="D4" s="147" t="s">
        <v>132</v>
      </c>
      <c r="E4" s="146" t="s">
        <v>131</v>
      </c>
      <c r="F4" s="145" t="s">
        <v>108</v>
      </c>
      <c r="G4" s="144" t="s">
        <v>107</v>
      </c>
      <c r="H4" s="249" t="s">
        <v>136</v>
      </c>
      <c r="I4" s="290" t="s">
        <v>151</v>
      </c>
      <c r="J4" s="146" t="s">
        <v>106</v>
      </c>
      <c r="K4" s="145" t="s">
        <v>105</v>
      </c>
      <c r="L4" s="144" t="s">
        <v>104</v>
      </c>
      <c r="M4" s="249" t="s">
        <v>137</v>
      </c>
      <c r="N4" s="290" t="s">
        <v>152</v>
      </c>
      <c r="O4" s="146" t="s">
        <v>130</v>
      </c>
      <c r="P4" s="145" t="s">
        <v>102</v>
      </c>
      <c r="Q4" s="144" t="s">
        <v>101</v>
      </c>
      <c r="R4" s="249" t="s">
        <v>138</v>
      </c>
      <c r="S4" s="290" t="s">
        <v>153</v>
      </c>
    </row>
    <row r="5" spans="1:19" ht="15.75" customHeight="1" x14ac:dyDescent="0.25">
      <c r="A5" s="222" t="s">
        <v>2</v>
      </c>
      <c r="B5" s="166"/>
      <c r="C5" s="221" t="s">
        <v>129</v>
      </c>
      <c r="D5" s="220">
        <v>206552292</v>
      </c>
      <c r="E5" s="219">
        <v>216552292</v>
      </c>
      <c r="F5" s="217"/>
      <c r="G5" s="217">
        <v>0</v>
      </c>
      <c r="H5" s="217">
        <v>0</v>
      </c>
      <c r="I5" s="294">
        <v>216552292</v>
      </c>
      <c r="J5" s="218">
        <v>216552292</v>
      </c>
      <c r="K5" s="217"/>
      <c r="L5" s="217">
        <v>0</v>
      </c>
      <c r="M5" s="217">
        <v>0</v>
      </c>
      <c r="N5" s="296">
        <v>216552292</v>
      </c>
      <c r="O5" s="218">
        <v>216552292</v>
      </c>
      <c r="P5" s="217"/>
      <c r="Q5" s="217">
        <v>0</v>
      </c>
      <c r="R5" s="261">
        <v>0</v>
      </c>
      <c r="S5" s="296">
        <v>216552292</v>
      </c>
    </row>
    <row r="6" spans="1:19" ht="15.75" customHeight="1" x14ac:dyDescent="0.25">
      <c r="A6" s="216" t="s">
        <v>2</v>
      </c>
      <c r="B6" s="215"/>
      <c r="C6" s="214" t="s">
        <v>117</v>
      </c>
      <c r="D6" s="68">
        <v>1500000</v>
      </c>
      <c r="E6" s="213">
        <v>1500000</v>
      </c>
      <c r="F6" s="87"/>
      <c r="G6" s="87">
        <v>0</v>
      </c>
      <c r="H6" s="87">
        <v>0</v>
      </c>
      <c r="I6" s="285">
        <v>1500000</v>
      </c>
      <c r="J6" s="88">
        <v>1500000</v>
      </c>
      <c r="K6" s="87"/>
      <c r="L6" s="87">
        <v>0</v>
      </c>
      <c r="M6" s="87">
        <v>0</v>
      </c>
      <c r="N6" s="112">
        <v>1500000</v>
      </c>
      <c r="O6" s="88">
        <v>1500000</v>
      </c>
      <c r="P6" s="87"/>
      <c r="Q6" s="87">
        <v>0</v>
      </c>
      <c r="R6" s="262">
        <v>0</v>
      </c>
      <c r="S6" s="112">
        <v>1500000</v>
      </c>
    </row>
    <row r="7" spans="1:19" ht="15.75" customHeight="1" thickBot="1" x14ac:dyDescent="0.3">
      <c r="A7" s="212" t="s">
        <v>2</v>
      </c>
      <c r="B7" s="211"/>
      <c r="C7" s="210" t="s">
        <v>128</v>
      </c>
      <c r="D7" s="209">
        <f>28170000-22621277</f>
        <v>5548723</v>
      </c>
      <c r="E7" s="208">
        <f>28258000-22424327</f>
        <v>5833673</v>
      </c>
      <c r="F7" s="246"/>
      <c r="G7" s="246">
        <v>0</v>
      </c>
      <c r="H7" s="246">
        <v>0</v>
      </c>
      <c r="I7" s="295">
        <f>28258000-22424327</f>
        <v>5833673</v>
      </c>
      <c r="J7" s="247">
        <f>28258000-18947316</f>
        <v>9310684</v>
      </c>
      <c r="K7" s="246"/>
      <c r="L7" s="246">
        <v>0</v>
      </c>
      <c r="M7" s="246">
        <v>0</v>
      </c>
      <c r="N7" s="246">
        <f>28258000-18947316</f>
        <v>9310684</v>
      </c>
      <c r="O7" s="247">
        <f>28258000-18947316</f>
        <v>9310684</v>
      </c>
      <c r="P7" s="246"/>
      <c r="Q7" s="246">
        <v>0</v>
      </c>
      <c r="R7" s="263">
        <v>0</v>
      </c>
      <c r="S7" s="246">
        <f>28258000-18947316</f>
        <v>9310684</v>
      </c>
    </row>
    <row r="8" spans="1:19" ht="15.75" customHeight="1" thickBot="1" x14ac:dyDescent="0.3">
      <c r="A8" s="207" t="s">
        <v>2</v>
      </c>
      <c r="B8" s="173"/>
      <c r="C8" s="17" t="s">
        <v>127</v>
      </c>
      <c r="D8" s="16">
        <f t="shared" ref="D8:R8" si="0">SUM(D5:D7)</f>
        <v>213601015</v>
      </c>
      <c r="E8" s="16">
        <f t="shared" si="0"/>
        <v>223885965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 t="shared" ref="I8" si="1">SUM(I5:I7)</f>
        <v>223885965</v>
      </c>
      <c r="J8" s="16">
        <f t="shared" si="0"/>
        <v>227362976</v>
      </c>
      <c r="K8" s="16">
        <f t="shared" si="0"/>
        <v>0</v>
      </c>
      <c r="L8" s="16">
        <f t="shared" si="0"/>
        <v>0</v>
      </c>
      <c r="M8" s="16">
        <f t="shared" si="0"/>
        <v>0</v>
      </c>
      <c r="N8" s="16">
        <f t="shared" ref="N8" si="2">SUM(N5:N7)</f>
        <v>227362976</v>
      </c>
      <c r="O8" s="16">
        <f t="shared" si="0"/>
        <v>227362976</v>
      </c>
      <c r="P8" s="16">
        <f t="shared" si="0"/>
        <v>0</v>
      </c>
      <c r="Q8" s="16">
        <f t="shared" si="0"/>
        <v>0</v>
      </c>
      <c r="R8" s="264">
        <f t="shared" si="0"/>
        <v>0</v>
      </c>
      <c r="S8" s="16">
        <f t="shared" ref="S8" si="3">SUM(S5:S7)</f>
        <v>227362976</v>
      </c>
    </row>
    <row r="9" spans="1:19" ht="15.75" customHeight="1" thickBot="1" x14ac:dyDescent="0.3">
      <c r="A9" s="222" t="s">
        <v>3</v>
      </c>
      <c r="B9" s="239"/>
      <c r="C9" s="240" t="s">
        <v>116</v>
      </c>
      <c r="D9" s="241">
        <v>9959766</v>
      </c>
      <c r="E9" s="242">
        <v>10112383</v>
      </c>
      <c r="F9" s="243"/>
      <c r="G9" s="244">
        <v>15039617</v>
      </c>
      <c r="H9" s="244">
        <v>15039617</v>
      </c>
      <c r="I9" s="243">
        <f>10112383+15039617</f>
        <v>25152000</v>
      </c>
      <c r="J9" s="245">
        <v>10484091</v>
      </c>
      <c r="K9" s="244"/>
      <c r="L9" s="244">
        <v>14851909</v>
      </c>
      <c r="M9" s="244">
        <v>14851909</v>
      </c>
      <c r="N9" s="244">
        <f>10484091+14851909</f>
        <v>25336000</v>
      </c>
      <c r="O9" s="245">
        <v>10484091</v>
      </c>
      <c r="P9" s="244"/>
      <c r="Q9" s="244">
        <v>14851909</v>
      </c>
      <c r="R9" s="265">
        <v>14851909</v>
      </c>
      <c r="S9" s="244">
        <f>10484091+14851909</f>
        <v>25336000</v>
      </c>
    </row>
    <row r="10" spans="1:19" ht="15.75" customHeight="1" thickBot="1" x14ac:dyDescent="0.3">
      <c r="A10" s="19" t="s">
        <v>3</v>
      </c>
      <c r="B10" s="18"/>
      <c r="C10" s="173" t="s">
        <v>20</v>
      </c>
      <c r="D10" s="185">
        <f>SUM(D9:D9)</f>
        <v>9959766</v>
      </c>
      <c r="E10" s="185">
        <f>SUM(E9:E9)</f>
        <v>10112383</v>
      </c>
      <c r="F10" s="185">
        <f>SUM(F9:F9)</f>
        <v>0</v>
      </c>
      <c r="G10" s="185">
        <f>SUM(G9:G9)</f>
        <v>15039617</v>
      </c>
      <c r="H10" s="185">
        <f>SUM(H9:H9)</f>
        <v>15039617</v>
      </c>
      <c r="I10" s="185">
        <f>SUM(I9:I9)</f>
        <v>25152000</v>
      </c>
      <c r="J10" s="185">
        <f>SUM(J9:J9)</f>
        <v>10484091</v>
      </c>
      <c r="K10" s="185">
        <f>SUM(K9:K9)</f>
        <v>0</v>
      </c>
      <c r="L10" s="185">
        <f>SUM(L9:L9)</f>
        <v>14851909</v>
      </c>
      <c r="M10" s="185">
        <f>SUM(M9:M9)</f>
        <v>14851909</v>
      </c>
      <c r="N10" s="185">
        <f>SUM(N9:N9)</f>
        <v>25336000</v>
      </c>
      <c r="O10" s="185">
        <f>SUM(O9:O9)</f>
        <v>10484091</v>
      </c>
      <c r="P10" s="185">
        <f>SUM(P9:P9)</f>
        <v>0</v>
      </c>
      <c r="Q10" s="185">
        <f>SUM(Q9:Q9)</f>
        <v>14851909</v>
      </c>
      <c r="R10" s="185">
        <f>SUM(R9:R9)</f>
        <v>14851909</v>
      </c>
      <c r="S10" s="185">
        <f>SUM(S9:S9)</f>
        <v>25336000</v>
      </c>
    </row>
    <row r="11" spans="1:19" ht="15.75" customHeight="1" x14ac:dyDescent="0.25">
      <c r="A11" s="206" t="s">
        <v>4</v>
      </c>
      <c r="B11" s="205"/>
      <c r="C11" s="204" t="s">
        <v>116</v>
      </c>
      <c r="D11" s="68">
        <v>89778000</v>
      </c>
      <c r="E11" s="88">
        <v>91166000</v>
      </c>
      <c r="F11" s="87"/>
      <c r="G11" s="87">
        <v>0</v>
      </c>
      <c r="H11" s="87">
        <v>0</v>
      </c>
      <c r="I11" s="112">
        <v>91166000</v>
      </c>
      <c r="J11" s="88">
        <v>94489000</v>
      </c>
      <c r="K11" s="87"/>
      <c r="L11" s="87">
        <v>0</v>
      </c>
      <c r="M11" s="87">
        <v>0</v>
      </c>
      <c r="N11" s="112">
        <v>94489000</v>
      </c>
      <c r="O11" s="88">
        <v>94489000</v>
      </c>
      <c r="P11" s="87"/>
      <c r="Q11" s="87">
        <v>0</v>
      </c>
      <c r="R11" s="262">
        <v>0</v>
      </c>
      <c r="S11" s="112">
        <v>94489000</v>
      </c>
    </row>
    <row r="12" spans="1:19" ht="15.75" customHeight="1" x14ac:dyDescent="0.25">
      <c r="A12" s="201" t="s">
        <v>4</v>
      </c>
      <c r="B12" s="203"/>
      <c r="C12" s="202" t="s">
        <v>126</v>
      </c>
      <c r="D12" s="44">
        <v>8534000</v>
      </c>
      <c r="E12" s="31">
        <v>8534000</v>
      </c>
      <c r="F12" s="30"/>
      <c r="G12" s="30">
        <v>0</v>
      </c>
      <c r="H12" s="30">
        <v>0</v>
      </c>
      <c r="I12" s="52">
        <v>8534000</v>
      </c>
      <c r="J12" s="31">
        <v>8534000</v>
      </c>
      <c r="K12" s="30"/>
      <c r="L12" s="30">
        <v>0</v>
      </c>
      <c r="M12" s="30">
        <v>0</v>
      </c>
      <c r="N12" s="52">
        <v>8534000</v>
      </c>
      <c r="O12" s="31">
        <v>8534000</v>
      </c>
      <c r="P12" s="30"/>
      <c r="Q12" s="30">
        <v>0</v>
      </c>
      <c r="R12" s="267">
        <v>0</v>
      </c>
      <c r="S12" s="52">
        <v>8534000</v>
      </c>
    </row>
    <row r="13" spans="1:19" ht="15.75" customHeight="1" thickBot="1" x14ac:dyDescent="0.3">
      <c r="A13" s="201" t="s">
        <v>4</v>
      </c>
      <c r="B13" s="200"/>
      <c r="C13" s="174" t="s">
        <v>125</v>
      </c>
      <c r="D13" s="44">
        <v>3340000</v>
      </c>
      <c r="E13" s="31">
        <v>2500000</v>
      </c>
      <c r="F13" s="30"/>
      <c r="G13" s="30">
        <v>0</v>
      </c>
      <c r="H13" s="30">
        <v>0</v>
      </c>
      <c r="I13" s="52">
        <v>2500000</v>
      </c>
      <c r="J13" s="31">
        <v>3100000</v>
      </c>
      <c r="K13" s="30"/>
      <c r="L13" s="30">
        <v>0</v>
      </c>
      <c r="M13" s="30">
        <v>0</v>
      </c>
      <c r="N13" s="52">
        <v>3100000</v>
      </c>
      <c r="O13" s="31">
        <v>3100000</v>
      </c>
      <c r="P13" s="30"/>
      <c r="Q13" s="30">
        <v>0</v>
      </c>
      <c r="R13" s="268">
        <v>0</v>
      </c>
      <c r="S13" s="52">
        <v>3100000</v>
      </c>
    </row>
    <row r="14" spans="1:19" ht="15.75" customHeight="1" thickBot="1" x14ac:dyDescent="0.3">
      <c r="A14" s="199" t="s">
        <v>4</v>
      </c>
      <c r="B14" s="198"/>
      <c r="C14" s="197" t="s">
        <v>20</v>
      </c>
      <c r="D14" s="196">
        <f>SUM(D11:D13)</f>
        <v>101652000</v>
      </c>
      <c r="E14" s="196">
        <f>SUM(E11:E13)</f>
        <v>102200000</v>
      </c>
      <c r="F14" s="196"/>
      <c r="G14" s="196">
        <f>SUM(G11:G13)</f>
        <v>0</v>
      </c>
      <c r="H14" s="196">
        <f>SUM(H11:H13)</f>
        <v>0</v>
      </c>
      <c r="I14" s="196">
        <f>SUM(I11:I13)</f>
        <v>102200000</v>
      </c>
      <c r="J14" s="196">
        <f>SUM(J11:J13)</f>
        <v>106123000</v>
      </c>
      <c r="K14" s="196"/>
      <c r="L14" s="196">
        <f>SUM(L11:L13)</f>
        <v>0</v>
      </c>
      <c r="M14" s="196">
        <f>SUM(M11:M13)</f>
        <v>0</v>
      </c>
      <c r="N14" s="196">
        <f>SUM(N11:N13)</f>
        <v>106123000</v>
      </c>
      <c r="O14" s="196">
        <f>SUM(O11:O13)</f>
        <v>106123000</v>
      </c>
      <c r="P14" s="196"/>
      <c r="Q14" s="196">
        <f>SUM(Q11:Q13)</f>
        <v>0</v>
      </c>
      <c r="R14" s="269">
        <f>SUM(R11:R13)</f>
        <v>0</v>
      </c>
      <c r="S14" s="196">
        <f>SUM(S11:S13)</f>
        <v>106123000</v>
      </c>
    </row>
    <row r="15" spans="1:19" ht="15.75" customHeight="1" thickBot="1" x14ac:dyDescent="0.3">
      <c r="A15" s="189" t="s">
        <v>5</v>
      </c>
      <c r="B15" s="188"/>
      <c r="C15" s="187" t="s">
        <v>116</v>
      </c>
      <c r="D15" s="26">
        <v>9977391</v>
      </c>
      <c r="E15" s="186">
        <v>10130278</v>
      </c>
      <c r="F15" s="23"/>
      <c r="G15" s="194">
        <v>49869722</v>
      </c>
      <c r="H15" s="194">
        <v>49869722</v>
      </c>
      <c r="I15" s="23">
        <f>10130278+49869722</f>
        <v>60000000</v>
      </c>
      <c r="J15" s="195">
        <v>10502645</v>
      </c>
      <c r="K15" s="194"/>
      <c r="L15" s="194">
        <v>99497355</v>
      </c>
      <c r="M15" s="194">
        <v>99497355</v>
      </c>
      <c r="N15" s="194">
        <f>10502645+99497355</f>
        <v>110000000</v>
      </c>
      <c r="O15" s="195">
        <v>10502645</v>
      </c>
      <c r="P15" s="194"/>
      <c r="Q15" s="194">
        <v>169497355</v>
      </c>
      <c r="R15" s="270">
        <v>169497355</v>
      </c>
      <c r="S15" s="194">
        <f>10502645+169497355</f>
        <v>180000000</v>
      </c>
    </row>
    <row r="16" spans="1:19" ht="15.75" customHeight="1" thickBot="1" x14ac:dyDescent="0.3">
      <c r="A16" s="19" t="s">
        <v>5</v>
      </c>
      <c r="B16" s="18"/>
      <c r="C16" s="173" t="s">
        <v>20</v>
      </c>
      <c r="D16" s="185">
        <f>SUM(D15:D15)</f>
        <v>9977391</v>
      </c>
      <c r="E16" s="185">
        <f>SUM(E15:E15)</f>
        <v>10130278</v>
      </c>
      <c r="F16" s="185"/>
      <c r="G16" s="185">
        <f>SUM(G15:G15)</f>
        <v>49869722</v>
      </c>
      <c r="H16" s="185">
        <f>SUM(H15:H15)</f>
        <v>49869722</v>
      </c>
      <c r="I16" s="185">
        <f>SUM(I15:I15)</f>
        <v>60000000</v>
      </c>
      <c r="J16" s="185">
        <f>SUM(J15:J15)</f>
        <v>10502645</v>
      </c>
      <c r="K16" s="185"/>
      <c r="L16" s="185">
        <f>SUM(L15:L15)</f>
        <v>99497355</v>
      </c>
      <c r="M16" s="185">
        <f>SUM(M15:M15)</f>
        <v>99497355</v>
      </c>
      <c r="N16" s="185">
        <f>SUM(N15:N15)</f>
        <v>110000000</v>
      </c>
      <c r="O16" s="185">
        <f>SUM(O15:O15)</f>
        <v>10502645</v>
      </c>
      <c r="P16" s="185"/>
      <c r="Q16" s="185">
        <f>SUM(Q15:Q15)</f>
        <v>169497355</v>
      </c>
      <c r="R16" s="266">
        <f>SUM(R15:R15)</f>
        <v>169497355</v>
      </c>
      <c r="S16" s="185">
        <f>SUM(S15:S15)</f>
        <v>180000000</v>
      </c>
    </row>
    <row r="17" spans="1:19" ht="15.75" customHeight="1" x14ac:dyDescent="0.25">
      <c r="A17" s="182" t="s">
        <v>6</v>
      </c>
      <c r="B17" s="181"/>
      <c r="C17" s="165" t="s">
        <v>116</v>
      </c>
      <c r="D17" s="68">
        <v>63405000</v>
      </c>
      <c r="E17" s="88">
        <v>64385000</v>
      </c>
      <c r="F17" s="87"/>
      <c r="G17" s="87">
        <v>71936000</v>
      </c>
      <c r="H17" s="87">
        <v>71936000</v>
      </c>
      <c r="I17" s="112">
        <f>64385000+71936000</f>
        <v>136321000</v>
      </c>
      <c r="J17" s="88">
        <v>66733000</v>
      </c>
      <c r="K17" s="87"/>
      <c r="L17" s="87">
        <v>72314000</v>
      </c>
      <c r="M17" s="87">
        <v>72314000</v>
      </c>
      <c r="N17" s="112">
        <f>66733000+72314000</f>
        <v>139047000</v>
      </c>
      <c r="O17" s="88">
        <v>66733000</v>
      </c>
      <c r="P17" s="87"/>
      <c r="Q17" s="87">
        <v>75095000</v>
      </c>
      <c r="R17" s="262">
        <v>75095000</v>
      </c>
      <c r="S17" s="112">
        <f>66733000+75095000</f>
        <v>141828000</v>
      </c>
    </row>
    <row r="18" spans="1:19" ht="15.75" customHeight="1" x14ac:dyDescent="0.25">
      <c r="A18" s="180" t="s">
        <v>6</v>
      </c>
      <c r="B18" s="179"/>
      <c r="C18" s="174" t="s">
        <v>119</v>
      </c>
      <c r="D18" s="44">
        <v>4271000</v>
      </c>
      <c r="E18" s="31">
        <v>4271000</v>
      </c>
      <c r="F18" s="30"/>
      <c r="G18" s="30">
        <v>2229000</v>
      </c>
      <c r="H18" s="30">
        <v>2229000</v>
      </c>
      <c r="I18" s="52">
        <f>4271000+2229000</f>
        <v>6500000</v>
      </c>
      <c r="J18" s="31">
        <v>4271000</v>
      </c>
      <c r="K18" s="30"/>
      <c r="L18" s="30">
        <v>2229000</v>
      </c>
      <c r="M18" s="30">
        <v>2229000</v>
      </c>
      <c r="N18" s="52">
        <f>4271000+2229000</f>
        <v>6500000</v>
      </c>
      <c r="O18" s="31">
        <v>4271000</v>
      </c>
      <c r="P18" s="30"/>
      <c r="Q18" s="30">
        <v>2229000</v>
      </c>
      <c r="R18" s="267">
        <v>2229000</v>
      </c>
      <c r="S18" s="52">
        <f>4271000+2229000</f>
        <v>6500000</v>
      </c>
    </row>
    <row r="19" spans="1:19" ht="15.75" customHeight="1" thickBot="1" x14ac:dyDescent="0.3">
      <c r="A19" s="180" t="s">
        <v>6</v>
      </c>
      <c r="B19" s="179"/>
      <c r="C19" s="174" t="s">
        <v>117</v>
      </c>
      <c r="D19" s="44">
        <v>500000</v>
      </c>
      <c r="E19" s="31">
        <v>500000</v>
      </c>
      <c r="F19" s="30"/>
      <c r="G19" s="30">
        <v>0</v>
      </c>
      <c r="H19" s="30">
        <v>0</v>
      </c>
      <c r="I19" s="52">
        <v>500000</v>
      </c>
      <c r="J19" s="31">
        <v>500000</v>
      </c>
      <c r="K19" s="30"/>
      <c r="L19" s="30">
        <v>0</v>
      </c>
      <c r="M19" s="30">
        <v>0</v>
      </c>
      <c r="N19" s="52">
        <v>500000</v>
      </c>
      <c r="O19" s="31">
        <v>500000</v>
      </c>
      <c r="P19" s="30"/>
      <c r="Q19" s="30">
        <v>0</v>
      </c>
      <c r="R19" s="267">
        <v>0</v>
      </c>
      <c r="S19" s="52">
        <f>500000</f>
        <v>500000</v>
      </c>
    </row>
    <row r="20" spans="1:19" ht="15.75" customHeight="1" thickBot="1" x14ac:dyDescent="0.3">
      <c r="A20" s="169" t="s">
        <v>6</v>
      </c>
      <c r="B20" s="168"/>
      <c r="C20" s="173" t="s">
        <v>20</v>
      </c>
      <c r="D20" s="167">
        <f>SUM(D17:D19)</f>
        <v>68176000</v>
      </c>
      <c r="E20" s="167">
        <f>SUM(E17:E19)</f>
        <v>69156000</v>
      </c>
      <c r="F20" s="167"/>
      <c r="G20" s="167">
        <f>SUM(G17:G19)</f>
        <v>74165000</v>
      </c>
      <c r="H20" s="167">
        <f>SUM(H17:H19)</f>
        <v>74165000</v>
      </c>
      <c r="I20" s="167">
        <f>SUM(I17:I19)</f>
        <v>143321000</v>
      </c>
      <c r="J20" s="167">
        <f>SUM(J17:J19)</f>
        <v>71504000</v>
      </c>
      <c r="K20" s="167"/>
      <c r="L20" s="167">
        <f>SUM(L17:L19)</f>
        <v>74543000</v>
      </c>
      <c r="M20" s="167">
        <f>SUM(M17:M19)</f>
        <v>74543000</v>
      </c>
      <c r="N20" s="167">
        <f>SUM(N17:N19)</f>
        <v>146047000</v>
      </c>
      <c r="O20" s="167">
        <f>SUM(O17:O19)</f>
        <v>71504000</v>
      </c>
      <c r="P20" s="167"/>
      <c r="Q20" s="167">
        <f>SUM(Q17:Q19)</f>
        <v>77324000</v>
      </c>
      <c r="R20" s="271">
        <f>SUM(R17:R19)</f>
        <v>77324000</v>
      </c>
      <c r="S20" s="167">
        <f>SUM(S17:S19)</f>
        <v>148828000</v>
      </c>
    </row>
    <row r="21" spans="1:19" ht="15.75" customHeight="1" thickBot="1" x14ac:dyDescent="0.3">
      <c r="A21" s="189" t="s">
        <v>7</v>
      </c>
      <c r="B21" s="188"/>
      <c r="C21" s="187" t="s">
        <v>116</v>
      </c>
      <c r="D21" s="26">
        <v>153231534</v>
      </c>
      <c r="E21" s="186">
        <v>155579554</v>
      </c>
      <c r="F21" s="23"/>
      <c r="G21" s="194">
        <v>92800000</v>
      </c>
      <c r="H21" s="194">
        <v>92800000</v>
      </c>
      <c r="I21" s="23">
        <f>155579554+92800000</f>
        <v>248379554</v>
      </c>
      <c r="J21" s="195">
        <v>161298312</v>
      </c>
      <c r="K21" s="194"/>
      <c r="L21" s="194">
        <v>96301887</v>
      </c>
      <c r="M21" s="194">
        <v>96301887</v>
      </c>
      <c r="N21" s="194">
        <f>161298312+96301887</f>
        <v>257600199</v>
      </c>
      <c r="O21" s="195">
        <v>161298312</v>
      </c>
      <c r="P21" s="194"/>
      <c r="Q21" s="194">
        <v>96301887</v>
      </c>
      <c r="R21" s="270">
        <v>96301887</v>
      </c>
      <c r="S21" s="194">
        <f>161298312+96301887</f>
        <v>257600199</v>
      </c>
    </row>
    <row r="22" spans="1:19" ht="15.75" customHeight="1" thickBot="1" x14ac:dyDescent="0.3">
      <c r="A22" s="193" t="s">
        <v>7</v>
      </c>
      <c r="B22" s="192"/>
      <c r="C22" s="191" t="s">
        <v>20</v>
      </c>
      <c r="D22" s="190">
        <f>SUM(D21:D21)</f>
        <v>153231534</v>
      </c>
      <c r="E22" s="190">
        <f>SUM(E21:E21)</f>
        <v>155579554</v>
      </c>
      <c r="F22" s="190"/>
      <c r="G22" s="190">
        <f>SUM(G21:G21)</f>
        <v>92800000</v>
      </c>
      <c r="H22" s="190">
        <f>SUM(H21:H21)</f>
        <v>92800000</v>
      </c>
      <c r="I22" s="190">
        <f>SUM(I21:I21)</f>
        <v>248379554</v>
      </c>
      <c r="J22" s="190">
        <f>SUM(J21:J21)</f>
        <v>161298312</v>
      </c>
      <c r="K22" s="190"/>
      <c r="L22" s="190">
        <f>SUM(L21:L21)</f>
        <v>96301887</v>
      </c>
      <c r="M22" s="190">
        <f>SUM(M21:M21)</f>
        <v>96301887</v>
      </c>
      <c r="N22" s="190">
        <f>SUM(N21:N21)</f>
        <v>257600199</v>
      </c>
      <c r="O22" s="190">
        <f>SUM(O21:O21)</f>
        <v>161298312</v>
      </c>
      <c r="P22" s="190"/>
      <c r="Q22" s="190">
        <f>SUM(Q21:Q21)</f>
        <v>96301887</v>
      </c>
      <c r="R22" s="272">
        <f>SUM(R21:R21)</f>
        <v>96301887</v>
      </c>
      <c r="S22" s="190">
        <f>SUM(S21:S21)</f>
        <v>257600199</v>
      </c>
    </row>
    <row r="23" spans="1:19" ht="15.75" customHeight="1" thickBot="1" x14ac:dyDescent="0.3">
      <c r="A23" s="182" t="s">
        <v>8</v>
      </c>
      <c r="B23" s="181"/>
      <c r="C23" s="165" t="s">
        <v>124</v>
      </c>
      <c r="D23" s="44">
        <v>109783000</v>
      </c>
      <c r="E23" s="31">
        <v>109783000</v>
      </c>
      <c r="F23" s="30"/>
      <c r="G23" s="30">
        <v>0</v>
      </c>
      <c r="H23" s="30">
        <v>0</v>
      </c>
      <c r="I23" s="52">
        <v>109783000</v>
      </c>
      <c r="J23" s="31">
        <v>109783000</v>
      </c>
      <c r="K23" s="30"/>
      <c r="L23" s="30">
        <v>0</v>
      </c>
      <c r="M23" s="30">
        <v>0</v>
      </c>
      <c r="N23" s="52">
        <v>109783000</v>
      </c>
      <c r="O23" s="31">
        <v>109783000</v>
      </c>
      <c r="P23" s="30"/>
      <c r="Q23" s="30">
        <v>0</v>
      </c>
      <c r="R23" s="267">
        <v>0</v>
      </c>
      <c r="S23" s="52">
        <v>109783000</v>
      </c>
    </row>
    <row r="24" spans="1:19" ht="15.75" customHeight="1" thickBot="1" x14ac:dyDescent="0.3">
      <c r="A24" s="169" t="s">
        <v>8</v>
      </c>
      <c r="B24" s="168"/>
      <c r="C24" s="173" t="s">
        <v>20</v>
      </c>
      <c r="D24" s="167">
        <f>SUM(D23:D23)</f>
        <v>109783000</v>
      </c>
      <c r="E24" s="167">
        <f>SUM(E23:E23)</f>
        <v>109783000</v>
      </c>
      <c r="F24" s="167"/>
      <c r="G24" s="167">
        <f>SUM(G23:G23)</f>
        <v>0</v>
      </c>
      <c r="H24" s="167">
        <f>SUM(H23:H23)</f>
        <v>0</v>
      </c>
      <c r="I24" s="167">
        <f>SUM(I23:I23)</f>
        <v>109783000</v>
      </c>
      <c r="J24" s="167">
        <f>SUM(J23:J23)</f>
        <v>109783000</v>
      </c>
      <c r="K24" s="167"/>
      <c r="L24" s="167">
        <f>SUM(L23:L23)</f>
        <v>0</v>
      </c>
      <c r="M24" s="167">
        <f>SUM(M23:M23)</f>
        <v>0</v>
      </c>
      <c r="N24" s="167">
        <f>SUM(N23:N23)</f>
        <v>109783000</v>
      </c>
      <c r="O24" s="167">
        <f>SUM(O23:O23)</f>
        <v>109783000</v>
      </c>
      <c r="P24" s="167"/>
      <c r="Q24" s="167">
        <f>SUM(Q23:Q23)</f>
        <v>0</v>
      </c>
      <c r="R24" s="271">
        <f>SUM(R23:R23)</f>
        <v>0</v>
      </c>
      <c r="S24" s="167">
        <f>SUM(S23:S23)</f>
        <v>109783000</v>
      </c>
    </row>
    <row r="25" spans="1:19" ht="15.75" customHeight="1" x14ac:dyDescent="0.25">
      <c r="A25" s="180" t="s">
        <v>9</v>
      </c>
      <c r="B25" s="179"/>
      <c r="C25" s="174" t="s">
        <v>116</v>
      </c>
      <c r="D25" s="44">
        <v>244651000</v>
      </c>
      <c r="E25" s="31">
        <v>248124000</v>
      </c>
      <c r="F25" s="30"/>
      <c r="G25" s="30">
        <v>100000000</v>
      </c>
      <c r="H25" s="30">
        <v>100000000</v>
      </c>
      <c r="I25" s="52">
        <f>248124000+100000000</f>
        <v>348124000</v>
      </c>
      <c r="J25" s="31">
        <v>256443000</v>
      </c>
      <c r="K25" s="30"/>
      <c r="L25" s="30">
        <v>100000000</v>
      </c>
      <c r="M25" s="30">
        <v>100000000</v>
      </c>
      <c r="N25" s="52">
        <f>256443000+100000000</f>
        <v>356443000</v>
      </c>
      <c r="O25" s="31">
        <v>256443000</v>
      </c>
      <c r="P25" s="30"/>
      <c r="Q25" s="30">
        <v>100000000</v>
      </c>
      <c r="R25" s="267">
        <v>100000000</v>
      </c>
      <c r="S25" s="52">
        <f>256443000+100000000</f>
        <v>356443000</v>
      </c>
    </row>
    <row r="26" spans="1:19" ht="15.75" customHeight="1" x14ac:dyDescent="0.25">
      <c r="A26" s="180" t="s">
        <v>9</v>
      </c>
      <c r="B26" s="233"/>
      <c r="C26" s="170" t="s">
        <v>147</v>
      </c>
      <c r="D26" s="44">
        <v>0</v>
      </c>
      <c r="E26" s="31">
        <v>0</v>
      </c>
      <c r="F26" s="30"/>
      <c r="G26" s="30">
        <v>0</v>
      </c>
      <c r="H26" s="30">
        <v>14720000</v>
      </c>
      <c r="I26" s="52">
        <v>14720000</v>
      </c>
      <c r="J26" s="31">
        <v>0</v>
      </c>
      <c r="K26" s="30"/>
      <c r="L26" s="30">
        <v>0</v>
      </c>
      <c r="M26" s="30">
        <v>64480000</v>
      </c>
      <c r="N26" s="52">
        <v>64480000</v>
      </c>
      <c r="O26" s="31">
        <v>0</v>
      </c>
      <c r="P26" s="30"/>
      <c r="Q26" s="30">
        <v>0</v>
      </c>
      <c r="R26" s="267">
        <v>112344000</v>
      </c>
      <c r="S26" s="52">
        <v>112344000</v>
      </c>
    </row>
    <row r="27" spans="1:19" ht="15.75" customHeight="1" x14ac:dyDescent="0.25">
      <c r="A27" s="180" t="s">
        <v>9</v>
      </c>
      <c r="B27" s="179"/>
      <c r="C27" s="174" t="s">
        <v>123</v>
      </c>
      <c r="D27" s="44">
        <v>180024000</v>
      </c>
      <c r="E27" s="31">
        <v>1250724000</v>
      </c>
      <c r="F27" s="30"/>
      <c r="G27" s="30">
        <v>0</v>
      </c>
      <c r="H27" s="30">
        <v>0</v>
      </c>
      <c r="I27" s="52">
        <v>1250724000</v>
      </c>
      <c r="J27" s="31">
        <v>667000000</v>
      </c>
      <c r="K27" s="30"/>
      <c r="L27" s="30">
        <v>0</v>
      </c>
      <c r="M27" s="30">
        <v>0</v>
      </c>
      <c r="N27" s="52">
        <v>667000000</v>
      </c>
      <c r="O27" s="31">
        <v>667000000</v>
      </c>
      <c r="P27" s="30"/>
      <c r="Q27" s="30">
        <v>0</v>
      </c>
      <c r="R27" s="267">
        <v>0</v>
      </c>
      <c r="S27" s="52">
        <v>667000000</v>
      </c>
    </row>
    <row r="28" spans="1:19" ht="15.75" customHeight="1" thickBot="1" x14ac:dyDescent="0.3">
      <c r="A28" s="180" t="s">
        <v>9</v>
      </c>
      <c r="B28" s="179"/>
      <c r="C28" s="174" t="s">
        <v>119</v>
      </c>
      <c r="D28" s="44">
        <v>7000000</v>
      </c>
      <c r="E28" s="31">
        <v>7000000</v>
      </c>
      <c r="F28" s="30"/>
      <c r="G28" s="30">
        <v>0</v>
      </c>
      <c r="H28" s="30">
        <v>0</v>
      </c>
      <c r="I28" s="52">
        <v>7000000</v>
      </c>
      <c r="J28" s="31">
        <v>7000000</v>
      </c>
      <c r="K28" s="30"/>
      <c r="L28" s="30">
        <v>0</v>
      </c>
      <c r="M28" s="30">
        <v>0</v>
      </c>
      <c r="N28" s="52">
        <v>7000000</v>
      </c>
      <c r="O28" s="31">
        <v>7000000</v>
      </c>
      <c r="P28" s="30"/>
      <c r="Q28" s="30">
        <v>0</v>
      </c>
      <c r="R28" s="267">
        <v>0</v>
      </c>
      <c r="S28" s="52">
        <v>7000000</v>
      </c>
    </row>
    <row r="29" spans="1:19" ht="15.75" customHeight="1" thickBot="1" x14ac:dyDescent="0.3">
      <c r="A29" s="169" t="s">
        <v>9</v>
      </c>
      <c r="B29" s="168"/>
      <c r="C29" s="173" t="s">
        <v>20</v>
      </c>
      <c r="D29" s="178">
        <f>SUM(D25:D28)</f>
        <v>431675000</v>
      </c>
      <c r="E29" s="178">
        <f>SUM(E25:E28)</f>
        <v>1505848000</v>
      </c>
      <c r="F29" s="178"/>
      <c r="G29" s="178">
        <f>SUM(G25:G28)</f>
        <v>100000000</v>
      </c>
      <c r="H29" s="178">
        <f>SUM(H25:H28)</f>
        <v>114720000</v>
      </c>
      <c r="I29" s="178">
        <f>SUM(I25:I28)</f>
        <v>1620568000</v>
      </c>
      <c r="J29" s="178">
        <f>SUM(J25:J28)</f>
        <v>930443000</v>
      </c>
      <c r="K29" s="178"/>
      <c r="L29" s="178">
        <f>SUM(L25:L28)</f>
        <v>100000000</v>
      </c>
      <c r="M29" s="178">
        <f>SUM(M25:M28)</f>
        <v>164480000</v>
      </c>
      <c r="N29" s="178">
        <f>SUM(N25:N28)</f>
        <v>1094923000</v>
      </c>
      <c r="O29" s="178">
        <f>SUM(O25:O28)</f>
        <v>930443000</v>
      </c>
      <c r="P29" s="178"/>
      <c r="Q29" s="178">
        <f>SUM(Q25:Q28)</f>
        <v>100000000</v>
      </c>
      <c r="R29" s="273">
        <f>SUM(R25:R28)</f>
        <v>212344000</v>
      </c>
      <c r="S29" s="178">
        <f>SUM(S25:S28)</f>
        <v>1142787000</v>
      </c>
    </row>
    <row r="30" spans="1:19" ht="15.75" customHeight="1" thickBot="1" x14ac:dyDescent="0.3">
      <c r="A30" s="189" t="s">
        <v>10</v>
      </c>
      <c r="B30" s="188"/>
      <c r="C30" s="187" t="s">
        <v>116</v>
      </c>
      <c r="D30" s="26">
        <v>15332946</v>
      </c>
      <c r="E30" s="186">
        <v>15567898</v>
      </c>
      <c r="F30" s="23"/>
      <c r="G30" s="23">
        <v>34432102</v>
      </c>
      <c r="H30" s="23">
        <v>6000000</v>
      </c>
      <c r="I30" s="23">
        <f>15567898+6000000</f>
        <v>21567898</v>
      </c>
      <c r="J30" s="186">
        <v>16140139</v>
      </c>
      <c r="K30" s="23"/>
      <c r="L30" s="23">
        <v>33859861</v>
      </c>
      <c r="M30" s="23">
        <v>6000000</v>
      </c>
      <c r="N30" s="23">
        <f>16140139+6000000</f>
        <v>22140139</v>
      </c>
      <c r="O30" s="186">
        <v>16140139</v>
      </c>
      <c r="P30" s="23"/>
      <c r="Q30" s="23">
        <v>33859861</v>
      </c>
      <c r="R30" s="274">
        <v>6000000</v>
      </c>
      <c r="S30" s="23">
        <f>16140139+6000000</f>
        <v>22140139</v>
      </c>
    </row>
    <row r="31" spans="1:19" ht="15.75" customHeight="1" thickBot="1" x14ac:dyDescent="0.3">
      <c r="A31" s="19" t="s">
        <v>10</v>
      </c>
      <c r="B31" s="18"/>
      <c r="C31" s="173" t="s">
        <v>20</v>
      </c>
      <c r="D31" s="185">
        <f>SUM(D30:D30)</f>
        <v>15332946</v>
      </c>
      <c r="E31" s="185">
        <f>SUM(E30:E30)</f>
        <v>15567898</v>
      </c>
      <c r="F31" s="185"/>
      <c r="G31" s="185">
        <f>SUM(G30:G30)</f>
        <v>34432102</v>
      </c>
      <c r="H31" s="185">
        <f>SUM(H30:H30)</f>
        <v>6000000</v>
      </c>
      <c r="I31" s="185">
        <f>SUM(I30:I30)</f>
        <v>21567898</v>
      </c>
      <c r="J31" s="185">
        <f>SUM(J30:J30)</f>
        <v>16140139</v>
      </c>
      <c r="K31" s="185"/>
      <c r="L31" s="185">
        <f>SUM(L30:L30)</f>
        <v>33859861</v>
      </c>
      <c r="M31" s="185">
        <f>SUM(M30:M30)</f>
        <v>6000000</v>
      </c>
      <c r="N31" s="185">
        <f>SUM(N30:N30)</f>
        <v>22140139</v>
      </c>
      <c r="O31" s="185">
        <f>SUM(O30:O30)</f>
        <v>16140139</v>
      </c>
      <c r="P31" s="185"/>
      <c r="Q31" s="185">
        <f>SUM(Q30:Q30)</f>
        <v>33859861</v>
      </c>
      <c r="R31" s="266">
        <f>SUM(R30:R30)</f>
        <v>6000000</v>
      </c>
      <c r="S31" s="185">
        <f>SUM(S30:S30)</f>
        <v>22140139</v>
      </c>
    </row>
    <row r="32" spans="1:19" ht="15.75" customHeight="1" x14ac:dyDescent="0.25">
      <c r="A32" s="38" t="s">
        <v>11</v>
      </c>
      <c r="B32" s="166"/>
      <c r="C32" s="165" t="s">
        <v>116</v>
      </c>
      <c r="D32" s="68">
        <v>446884000</v>
      </c>
      <c r="E32" s="88">
        <v>453206000</v>
      </c>
      <c r="F32" s="87"/>
      <c r="G32" s="87">
        <v>0</v>
      </c>
      <c r="H32" s="87">
        <v>0</v>
      </c>
      <c r="I32" s="112">
        <v>453206000</v>
      </c>
      <c r="J32" s="88">
        <v>468351000</v>
      </c>
      <c r="K32" s="87"/>
      <c r="L32" s="87">
        <v>0</v>
      </c>
      <c r="M32" s="87">
        <v>0</v>
      </c>
      <c r="N32" s="112">
        <v>468351000</v>
      </c>
      <c r="O32" s="88">
        <v>468351000</v>
      </c>
      <c r="P32" s="87"/>
      <c r="Q32" s="87">
        <v>23418000</v>
      </c>
      <c r="R32" s="262">
        <v>23418000</v>
      </c>
      <c r="S32" s="112">
        <f>468351000+23418000</f>
        <v>491769000</v>
      </c>
    </row>
    <row r="33" spans="1:19" ht="15.75" customHeight="1" x14ac:dyDescent="0.25">
      <c r="A33" s="38" t="s">
        <v>11</v>
      </c>
      <c r="B33" s="234"/>
      <c r="C33" s="170" t="s">
        <v>147</v>
      </c>
      <c r="D33" s="68">
        <v>0</v>
      </c>
      <c r="E33" s="88">
        <v>0</v>
      </c>
      <c r="F33" s="87"/>
      <c r="G33" s="87">
        <v>0</v>
      </c>
      <c r="H33" s="87">
        <v>0</v>
      </c>
      <c r="I33" s="112">
        <v>0</v>
      </c>
      <c r="J33" s="88">
        <v>0</v>
      </c>
      <c r="K33" s="87"/>
      <c r="L33" s="87">
        <v>0</v>
      </c>
      <c r="M33" s="87">
        <v>22680000</v>
      </c>
      <c r="N33" s="112">
        <v>22680000</v>
      </c>
      <c r="O33" s="88">
        <v>0</v>
      </c>
      <c r="P33" s="87"/>
      <c r="Q33" s="87">
        <v>0</v>
      </c>
      <c r="R33" s="262">
        <v>23600000</v>
      </c>
      <c r="S33" s="112">
        <v>23600000</v>
      </c>
    </row>
    <row r="34" spans="1:19" ht="15.75" customHeight="1" x14ac:dyDescent="0.25">
      <c r="A34" s="29" t="s">
        <v>11</v>
      </c>
      <c r="B34" s="175"/>
      <c r="C34" s="174" t="s">
        <v>119</v>
      </c>
      <c r="D34" s="44">
        <v>3000000</v>
      </c>
      <c r="E34" s="31">
        <v>3000000</v>
      </c>
      <c r="F34" s="30"/>
      <c r="G34" s="30">
        <v>2000000</v>
      </c>
      <c r="H34" s="30">
        <v>2000000</v>
      </c>
      <c r="I34" s="52">
        <f>3000000+2000000</f>
        <v>5000000</v>
      </c>
      <c r="J34" s="31">
        <v>3000000</v>
      </c>
      <c r="K34" s="30"/>
      <c r="L34" s="30">
        <v>2000000</v>
      </c>
      <c r="M34" s="30">
        <v>2000000</v>
      </c>
      <c r="N34" s="52">
        <f>3000000+2000000</f>
        <v>5000000</v>
      </c>
      <c r="O34" s="31">
        <v>3000000</v>
      </c>
      <c r="P34" s="30"/>
      <c r="Q34" s="30">
        <v>2000000</v>
      </c>
      <c r="R34" s="267">
        <v>2000000</v>
      </c>
      <c r="S34" s="52">
        <f>3000000+2000000</f>
        <v>5000000</v>
      </c>
    </row>
    <row r="35" spans="1:19" ht="15.75" customHeight="1" thickBot="1" x14ac:dyDescent="0.3">
      <c r="A35" s="29" t="s">
        <v>11</v>
      </c>
      <c r="B35" s="175"/>
      <c r="C35" s="174" t="s">
        <v>117</v>
      </c>
      <c r="D35" s="44">
        <v>300000</v>
      </c>
      <c r="E35" s="31">
        <v>300000</v>
      </c>
      <c r="F35" s="30"/>
      <c r="G35" s="30">
        <v>120000</v>
      </c>
      <c r="H35" s="30">
        <v>120000</v>
      </c>
      <c r="I35" s="52">
        <f>300000+120000</f>
        <v>420000</v>
      </c>
      <c r="J35" s="31">
        <v>300000</v>
      </c>
      <c r="K35" s="30"/>
      <c r="L35" s="30">
        <v>120000</v>
      </c>
      <c r="M35" s="30">
        <v>120000</v>
      </c>
      <c r="N35" s="52">
        <f>300000+120000</f>
        <v>420000</v>
      </c>
      <c r="O35" s="31">
        <v>300000</v>
      </c>
      <c r="P35" s="30"/>
      <c r="Q35" s="30">
        <v>120000</v>
      </c>
      <c r="R35" s="267">
        <v>120000</v>
      </c>
      <c r="S35" s="52">
        <f>300000+120000</f>
        <v>420000</v>
      </c>
    </row>
    <row r="36" spans="1:19" ht="15.75" customHeight="1" thickBot="1" x14ac:dyDescent="0.3">
      <c r="A36" s="19" t="s">
        <v>11</v>
      </c>
      <c r="B36" s="18"/>
      <c r="C36" s="173" t="s">
        <v>20</v>
      </c>
      <c r="D36" s="167">
        <f>SUM(D32:D35)</f>
        <v>450184000</v>
      </c>
      <c r="E36" s="167">
        <f>SUM(E32:E35)</f>
        <v>456506000</v>
      </c>
      <c r="F36" s="167"/>
      <c r="G36" s="167">
        <f>SUM(G32:G35)</f>
        <v>2120000</v>
      </c>
      <c r="H36" s="167">
        <f>SUM(H32:H35)</f>
        <v>2120000</v>
      </c>
      <c r="I36" s="167">
        <f>SUM(I32:I35)</f>
        <v>458626000</v>
      </c>
      <c r="J36" s="167">
        <f>SUM(J32:J35)</f>
        <v>471651000</v>
      </c>
      <c r="K36" s="167"/>
      <c r="L36" s="167">
        <f>SUM(L32:L35)</f>
        <v>2120000</v>
      </c>
      <c r="M36" s="167">
        <f>SUM(M32:M35)</f>
        <v>24800000</v>
      </c>
      <c r="N36" s="167">
        <f>SUM(N32:N35)</f>
        <v>496451000</v>
      </c>
      <c r="O36" s="167">
        <f>SUM(O32:O35)</f>
        <v>471651000</v>
      </c>
      <c r="P36" s="167"/>
      <c r="Q36" s="167">
        <f>SUM(Q32:Q35)</f>
        <v>25538000</v>
      </c>
      <c r="R36" s="271">
        <f>SUM(R32:R35)</f>
        <v>49138000</v>
      </c>
      <c r="S36" s="167">
        <f>SUM(S32:S35)</f>
        <v>520789000</v>
      </c>
    </row>
    <row r="37" spans="1:19" ht="15.75" customHeight="1" x14ac:dyDescent="0.25">
      <c r="A37" s="182" t="s">
        <v>12</v>
      </c>
      <c r="B37" s="181"/>
      <c r="C37" s="184" t="s">
        <v>116</v>
      </c>
      <c r="D37" s="44">
        <f>6030493000-188501637</f>
        <v>5841991363</v>
      </c>
      <c r="E37" s="31">
        <f>6123716000-191390113</f>
        <v>5932325887</v>
      </c>
      <c r="F37" s="30">
        <f>6123716000-191390113</f>
        <v>5932325887</v>
      </c>
      <c r="G37" s="30">
        <v>0</v>
      </c>
      <c r="H37" s="52">
        <v>400000000</v>
      </c>
      <c r="I37" s="52">
        <f>6123716000-191390113+400000000</f>
        <v>6332325887</v>
      </c>
      <c r="J37" s="31">
        <f>6347019000-198425187</f>
        <v>6148593813</v>
      </c>
      <c r="K37" s="30"/>
      <c r="L37" s="30">
        <v>0</v>
      </c>
      <c r="M37" s="52">
        <v>400000000</v>
      </c>
      <c r="N37" s="52">
        <f>6347019000-198425187+400000000</f>
        <v>6548593813</v>
      </c>
      <c r="O37" s="31">
        <f>6347019000-198425187</f>
        <v>6148593813</v>
      </c>
      <c r="P37" s="39">
        <v>6701910993</v>
      </c>
      <c r="Q37" s="30">
        <v>0</v>
      </c>
      <c r="R37" s="275">
        <v>400000000</v>
      </c>
      <c r="S37" s="52">
        <f>6347019000-198425187+400000000</f>
        <v>6548593813</v>
      </c>
    </row>
    <row r="38" spans="1:19" ht="15.75" customHeight="1" x14ac:dyDescent="0.25">
      <c r="A38" s="182" t="s">
        <v>139</v>
      </c>
      <c r="B38" s="181"/>
      <c r="C38" s="184" t="s">
        <v>148</v>
      </c>
      <c r="D38" s="44">
        <v>0</v>
      </c>
      <c r="E38" s="31">
        <v>0</v>
      </c>
      <c r="F38" s="30"/>
      <c r="G38" s="30">
        <v>0</v>
      </c>
      <c r="H38" s="52">
        <v>3089000</v>
      </c>
      <c r="I38" s="52">
        <v>3089000</v>
      </c>
      <c r="J38" s="31">
        <v>0</v>
      </c>
      <c r="K38" s="30"/>
      <c r="L38" s="30">
        <v>0</v>
      </c>
      <c r="M38" s="52">
        <v>303061000</v>
      </c>
      <c r="N38" s="52">
        <v>303061000</v>
      </c>
      <c r="O38" s="31">
        <v>0</v>
      </c>
      <c r="P38" s="52"/>
      <c r="Q38" s="30">
        <v>0</v>
      </c>
      <c r="R38" s="275">
        <v>607105000</v>
      </c>
      <c r="S38" s="52">
        <v>607105000</v>
      </c>
    </row>
    <row r="39" spans="1:19" ht="15.75" customHeight="1" x14ac:dyDescent="0.25">
      <c r="A39" s="182" t="s">
        <v>12</v>
      </c>
      <c r="B39" s="181"/>
      <c r="C39" s="174" t="s">
        <v>119</v>
      </c>
      <c r="D39" s="44">
        <v>12650000</v>
      </c>
      <c r="E39" s="31">
        <v>12650000</v>
      </c>
      <c r="F39" s="30">
        <v>12650000</v>
      </c>
      <c r="G39" s="30">
        <v>7350000</v>
      </c>
      <c r="H39" s="52">
        <v>7350000</v>
      </c>
      <c r="I39" s="52">
        <f>12650000+7350000</f>
        <v>20000000</v>
      </c>
      <c r="J39" s="31">
        <v>12650000</v>
      </c>
      <c r="K39" s="30"/>
      <c r="L39" s="30">
        <v>7350000</v>
      </c>
      <c r="M39" s="30">
        <v>7350000</v>
      </c>
      <c r="N39" s="52">
        <f>12650000+7350000</f>
        <v>20000000</v>
      </c>
      <c r="O39" s="31">
        <v>12650000</v>
      </c>
      <c r="P39" s="30">
        <v>12650000</v>
      </c>
      <c r="Q39" s="30">
        <v>7350000</v>
      </c>
      <c r="R39" s="267">
        <v>7350000</v>
      </c>
      <c r="S39" s="52">
        <f>12650000+7350000</f>
        <v>20000000</v>
      </c>
    </row>
    <row r="40" spans="1:19" ht="15.75" customHeight="1" x14ac:dyDescent="0.25">
      <c r="A40" s="182" t="s">
        <v>12</v>
      </c>
      <c r="B40" s="181"/>
      <c r="C40" s="184" t="s">
        <v>122</v>
      </c>
      <c r="D40" s="44">
        <f>1800000000-20000000</f>
        <v>1780000000</v>
      </c>
      <c r="E40" s="31">
        <v>1600000000</v>
      </c>
      <c r="F40" s="39">
        <v>900000000</v>
      </c>
      <c r="G40" s="30">
        <v>0</v>
      </c>
      <c r="H40" s="30">
        <v>-350000000</v>
      </c>
      <c r="I40" s="52">
        <f>1600000000-350000000</f>
        <v>1250000000</v>
      </c>
      <c r="J40" s="31">
        <v>1000000000</v>
      </c>
      <c r="K40" s="30"/>
      <c r="L40" s="30">
        <v>700000000</v>
      </c>
      <c r="M40" s="235">
        <v>700000000</v>
      </c>
      <c r="N40" s="52">
        <f>1000000000+700000000</f>
        <v>1700000000</v>
      </c>
      <c r="O40" s="31">
        <v>1000000000</v>
      </c>
      <c r="P40" s="39">
        <v>800000000</v>
      </c>
      <c r="Q40" s="30">
        <v>0</v>
      </c>
      <c r="R40" s="267">
        <v>0</v>
      </c>
      <c r="S40" s="52">
        <v>1000000000</v>
      </c>
    </row>
    <row r="41" spans="1:19" ht="15.75" customHeight="1" x14ac:dyDescent="0.25">
      <c r="A41" s="182" t="s">
        <v>12</v>
      </c>
      <c r="B41" s="181"/>
      <c r="C41" s="184" t="s">
        <v>121</v>
      </c>
      <c r="D41" s="44">
        <v>1220238700</v>
      </c>
      <c r="E41" s="31">
        <v>1263878700</v>
      </c>
      <c r="F41" s="30">
        <v>1263878700</v>
      </c>
      <c r="G41" s="30">
        <v>25000000</v>
      </c>
      <c r="H41" s="30">
        <v>25000000</v>
      </c>
      <c r="I41" s="52">
        <f>1263878700+25000000</f>
        <v>1288878700</v>
      </c>
      <c r="J41" s="31">
        <v>1271979700</v>
      </c>
      <c r="K41" s="30"/>
      <c r="L41" s="30">
        <v>40000000</v>
      </c>
      <c r="M41" s="30">
        <v>40000000</v>
      </c>
      <c r="N41" s="52">
        <f>1271979700+40000000</f>
        <v>1311979700</v>
      </c>
      <c r="O41" s="31">
        <v>1271979700</v>
      </c>
      <c r="P41" s="39">
        <v>1334915750</v>
      </c>
      <c r="Q41" s="30">
        <v>50000000</v>
      </c>
      <c r="R41" s="267">
        <v>50000000</v>
      </c>
      <c r="S41" s="52">
        <f>1271979700+50000000</f>
        <v>1321979700</v>
      </c>
    </row>
    <row r="42" spans="1:19" ht="15.75" customHeight="1" x14ac:dyDescent="0.25">
      <c r="A42" s="182" t="s">
        <v>12</v>
      </c>
      <c r="B42" s="181"/>
      <c r="C42" s="184" t="s">
        <v>117</v>
      </c>
      <c r="D42" s="44">
        <v>900000</v>
      </c>
      <c r="E42" s="31">
        <v>900000</v>
      </c>
      <c r="F42" s="30">
        <v>900000</v>
      </c>
      <c r="G42" s="30">
        <v>0</v>
      </c>
      <c r="H42" s="30">
        <v>0</v>
      </c>
      <c r="I42" s="52">
        <v>900000</v>
      </c>
      <c r="J42" s="31">
        <v>900000</v>
      </c>
      <c r="K42" s="30"/>
      <c r="L42" s="30">
        <v>0</v>
      </c>
      <c r="M42" s="30">
        <v>0</v>
      </c>
      <c r="N42" s="52">
        <v>900000</v>
      </c>
      <c r="O42" s="31">
        <v>900000</v>
      </c>
      <c r="P42" s="30">
        <v>900000</v>
      </c>
      <c r="Q42" s="30">
        <v>0</v>
      </c>
      <c r="R42" s="267">
        <v>0</v>
      </c>
      <c r="S42" s="52">
        <v>900000</v>
      </c>
    </row>
    <row r="43" spans="1:19" ht="15.75" customHeight="1" thickBot="1" x14ac:dyDescent="0.3">
      <c r="A43" s="182" t="s">
        <v>12</v>
      </c>
      <c r="B43" s="181"/>
      <c r="C43" s="184" t="s">
        <v>120</v>
      </c>
      <c r="D43" s="44">
        <v>0</v>
      </c>
      <c r="E43" s="31">
        <v>0</v>
      </c>
      <c r="F43" s="30">
        <v>0</v>
      </c>
      <c r="G43" s="30">
        <v>5000000</v>
      </c>
      <c r="H43" s="30">
        <v>5000000</v>
      </c>
      <c r="I43" s="52">
        <v>5000000</v>
      </c>
      <c r="J43" s="31">
        <v>0</v>
      </c>
      <c r="K43" s="30"/>
      <c r="L43" s="30">
        <v>5000000</v>
      </c>
      <c r="M43" s="30">
        <v>5000000</v>
      </c>
      <c r="N43" s="52">
        <v>5000000</v>
      </c>
      <c r="O43" s="31">
        <v>0</v>
      </c>
      <c r="P43" s="30">
        <v>0</v>
      </c>
      <c r="Q43" s="30">
        <v>5000000</v>
      </c>
      <c r="R43" s="267">
        <v>5000000</v>
      </c>
      <c r="S43" s="52">
        <v>5000000</v>
      </c>
    </row>
    <row r="44" spans="1:19" ht="15.75" customHeight="1" thickBot="1" x14ac:dyDescent="0.3">
      <c r="A44" s="169" t="s">
        <v>159</v>
      </c>
      <c r="B44" s="168"/>
      <c r="C44" s="173" t="s">
        <v>20</v>
      </c>
      <c r="D44" s="178">
        <f t="shared" ref="D44:J44" si="4">SUM(D37:D43)</f>
        <v>8855780063</v>
      </c>
      <c r="E44" s="178">
        <f t="shared" si="4"/>
        <v>8809754587</v>
      </c>
      <c r="F44" s="183">
        <f t="shared" si="4"/>
        <v>8109754587</v>
      </c>
      <c r="G44" s="178">
        <f t="shared" si="4"/>
        <v>37350000</v>
      </c>
      <c r="H44" s="178">
        <f t="shared" si="4"/>
        <v>90439000</v>
      </c>
      <c r="I44" s="178">
        <f t="shared" si="4"/>
        <v>8900193587</v>
      </c>
      <c r="J44" s="178">
        <f t="shared" si="4"/>
        <v>8434123513</v>
      </c>
      <c r="K44" s="178"/>
      <c r="L44" s="178">
        <f t="shared" ref="L44:R44" si="5">SUM(L37:L43)</f>
        <v>752350000</v>
      </c>
      <c r="M44" s="178">
        <f t="shared" si="5"/>
        <v>1455411000</v>
      </c>
      <c r="N44" s="178">
        <f t="shared" ref="N44" si="6">SUM(N37:N43)</f>
        <v>9889534513</v>
      </c>
      <c r="O44" s="178">
        <f t="shared" si="5"/>
        <v>8434123513</v>
      </c>
      <c r="P44" s="183">
        <f t="shared" si="5"/>
        <v>8850376743</v>
      </c>
      <c r="Q44" s="178">
        <f t="shared" si="5"/>
        <v>62350000</v>
      </c>
      <c r="R44" s="273">
        <f t="shared" si="5"/>
        <v>1069455000</v>
      </c>
      <c r="S44" s="178">
        <f t="shared" ref="S44" si="7">SUM(S37:S43)</f>
        <v>9503578513</v>
      </c>
    </row>
    <row r="45" spans="1:19" ht="15.75" customHeight="1" x14ac:dyDescent="0.25">
      <c r="A45" s="182" t="s">
        <v>45</v>
      </c>
      <c r="B45" s="181"/>
      <c r="C45" s="165" t="s">
        <v>116</v>
      </c>
      <c r="D45" s="44">
        <v>88699000</v>
      </c>
      <c r="E45" s="31">
        <v>90039000</v>
      </c>
      <c r="F45" s="30"/>
      <c r="G45" s="30">
        <v>0</v>
      </c>
      <c r="H45" s="30">
        <v>0</v>
      </c>
      <c r="I45" s="52">
        <v>90039000</v>
      </c>
      <c r="J45" s="31">
        <v>93354000</v>
      </c>
      <c r="K45" s="30"/>
      <c r="L45" s="30">
        <v>0</v>
      </c>
      <c r="M45" s="30">
        <v>0</v>
      </c>
      <c r="N45" s="52">
        <v>93354000</v>
      </c>
      <c r="O45" s="31">
        <v>93354000</v>
      </c>
      <c r="P45" s="30"/>
      <c r="Q45" s="30">
        <v>0</v>
      </c>
      <c r="R45" s="267">
        <v>0</v>
      </c>
      <c r="S45" s="52">
        <v>93354000</v>
      </c>
    </row>
    <row r="46" spans="1:19" ht="15.75" customHeight="1" thickBot="1" x14ac:dyDescent="0.3">
      <c r="A46" s="180" t="s">
        <v>45</v>
      </c>
      <c r="B46" s="179"/>
      <c r="C46" s="174" t="s">
        <v>119</v>
      </c>
      <c r="D46" s="44">
        <v>4343000</v>
      </c>
      <c r="E46" s="31">
        <v>5343000</v>
      </c>
      <c r="F46" s="30"/>
      <c r="G46" s="30">
        <v>1000000</v>
      </c>
      <c r="H46" s="30">
        <v>1000000</v>
      </c>
      <c r="I46" s="52">
        <f>5343000+1000000</f>
        <v>6343000</v>
      </c>
      <c r="J46" s="31">
        <v>5343000</v>
      </c>
      <c r="K46" s="30"/>
      <c r="L46" s="30">
        <v>1000000</v>
      </c>
      <c r="M46" s="30">
        <v>1000000</v>
      </c>
      <c r="N46" s="52">
        <f>5343000+1000000</f>
        <v>6343000</v>
      </c>
      <c r="O46" s="31">
        <v>5343000</v>
      </c>
      <c r="P46" s="30"/>
      <c r="Q46" s="30">
        <v>1000000</v>
      </c>
      <c r="R46" s="267">
        <v>1000000</v>
      </c>
      <c r="S46" s="52">
        <f>5343000+1000000</f>
        <v>6343000</v>
      </c>
    </row>
    <row r="47" spans="1:19" ht="15.75" customHeight="1" thickBot="1" x14ac:dyDescent="0.3">
      <c r="A47" s="169" t="s">
        <v>45</v>
      </c>
      <c r="B47" s="168"/>
      <c r="C47" s="173" t="s">
        <v>20</v>
      </c>
      <c r="D47" s="178">
        <f>SUM(D45:D46)</f>
        <v>93042000</v>
      </c>
      <c r="E47" s="178">
        <f>SUM(E45:E46)</f>
        <v>95382000</v>
      </c>
      <c r="F47" s="178"/>
      <c r="G47" s="178">
        <f>SUM(G45:G46)</f>
        <v>1000000</v>
      </c>
      <c r="H47" s="178">
        <f>SUM(H45:H46)</f>
        <v>1000000</v>
      </c>
      <c r="I47" s="178">
        <f>SUM(I45:I46)</f>
        <v>96382000</v>
      </c>
      <c r="J47" s="178">
        <f>SUM(J45:J46)</f>
        <v>98697000</v>
      </c>
      <c r="K47" s="178"/>
      <c r="L47" s="178">
        <f>SUM(L45:L46)</f>
        <v>1000000</v>
      </c>
      <c r="M47" s="178">
        <f>SUM(M45:M46)</f>
        <v>1000000</v>
      </c>
      <c r="N47" s="178">
        <f>SUM(N45:N46)</f>
        <v>99697000</v>
      </c>
      <c r="O47" s="178">
        <f>SUM(O45:O46)</f>
        <v>98697000</v>
      </c>
      <c r="P47" s="178"/>
      <c r="Q47" s="178">
        <f>SUM(Q45:Q46)</f>
        <v>1000000</v>
      </c>
      <c r="R47" s="273">
        <f>SUM(R45:R46)</f>
        <v>1000000</v>
      </c>
      <c r="S47" s="178">
        <f>SUM(S45:S46)</f>
        <v>99697000</v>
      </c>
    </row>
    <row r="48" spans="1:19" ht="15.75" customHeight="1" x14ac:dyDescent="0.25">
      <c r="A48" s="38" t="s">
        <v>13</v>
      </c>
      <c r="B48" s="166"/>
      <c r="C48" s="165" t="s">
        <v>116</v>
      </c>
      <c r="D48" s="44">
        <v>610754000</v>
      </c>
      <c r="E48" s="31">
        <v>621046000</v>
      </c>
      <c r="F48" s="30"/>
      <c r="G48" s="30">
        <v>0</v>
      </c>
      <c r="H48" s="30">
        <v>0</v>
      </c>
      <c r="I48" s="52">
        <v>621046000</v>
      </c>
      <c r="J48" s="31">
        <v>645697000</v>
      </c>
      <c r="K48" s="30"/>
      <c r="L48" s="30">
        <v>0</v>
      </c>
      <c r="M48" s="30">
        <v>0</v>
      </c>
      <c r="N48" s="52">
        <v>645697000</v>
      </c>
      <c r="O48" s="31">
        <v>645697000</v>
      </c>
      <c r="P48" s="30"/>
      <c r="Q48" s="30">
        <v>0</v>
      </c>
      <c r="R48" s="267">
        <v>0</v>
      </c>
      <c r="S48" s="52">
        <v>645697000</v>
      </c>
    </row>
    <row r="49" spans="1:19" ht="15.75" customHeight="1" x14ac:dyDescent="0.25">
      <c r="A49" s="38" t="s">
        <v>13</v>
      </c>
      <c r="B49" s="234"/>
      <c r="C49" s="170" t="s">
        <v>147</v>
      </c>
      <c r="D49" s="44">
        <v>0</v>
      </c>
      <c r="E49" s="31">
        <v>0</v>
      </c>
      <c r="F49" s="30"/>
      <c r="G49" s="30">
        <v>0</v>
      </c>
      <c r="H49" s="30">
        <v>0</v>
      </c>
      <c r="I49" s="52">
        <v>0</v>
      </c>
      <c r="J49" s="31">
        <v>0</v>
      </c>
      <c r="K49" s="30"/>
      <c r="L49" s="30">
        <v>0</v>
      </c>
      <c r="M49" s="30">
        <v>2900000</v>
      </c>
      <c r="N49" s="52">
        <v>2900000</v>
      </c>
      <c r="O49" s="31">
        <v>0</v>
      </c>
      <c r="P49" s="30"/>
      <c r="Q49" s="30">
        <v>0</v>
      </c>
      <c r="R49" s="267">
        <v>27865000</v>
      </c>
      <c r="S49" s="52">
        <v>27865000</v>
      </c>
    </row>
    <row r="50" spans="1:19" ht="15.75" customHeight="1" x14ac:dyDescent="0.25">
      <c r="A50" s="177" t="s">
        <v>13</v>
      </c>
      <c r="B50" s="176"/>
      <c r="C50" s="174" t="s">
        <v>118</v>
      </c>
      <c r="D50" s="44">
        <v>36294512</v>
      </c>
      <c r="E50" s="31">
        <v>36294512</v>
      </c>
      <c r="F50" s="30"/>
      <c r="G50" s="30">
        <v>0</v>
      </c>
      <c r="H50" s="30">
        <v>0</v>
      </c>
      <c r="I50" s="52">
        <v>36294512</v>
      </c>
      <c r="J50" s="31">
        <v>36294512</v>
      </c>
      <c r="K50" s="30"/>
      <c r="L50" s="30">
        <v>0</v>
      </c>
      <c r="M50" s="30">
        <v>0</v>
      </c>
      <c r="N50" s="52">
        <v>36294512</v>
      </c>
      <c r="O50" s="31">
        <v>36294512</v>
      </c>
      <c r="P50" s="30"/>
      <c r="Q50" s="30">
        <v>0</v>
      </c>
      <c r="R50" s="267">
        <v>0</v>
      </c>
      <c r="S50" s="52">
        <v>36294512</v>
      </c>
    </row>
    <row r="51" spans="1:19" ht="15.75" customHeight="1" thickBot="1" x14ac:dyDescent="0.3">
      <c r="A51" s="29" t="s">
        <v>13</v>
      </c>
      <c r="B51" s="175"/>
      <c r="C51" s="174" t="s">
        <v>117</v>
      </c>
      <c r="D51" s="44">
        <v>300000</v>
      </c>
      <c r="E51" s="31">
        <v>300000</v>
      </c>
      <c r="F51" s="30"/>
      <c r="G51" s="30">
        <v>0</v>
      </c>
      <c r="H51" s="30">
        <v>0</v>
      </c>
      <c r="I51" s="52">
        <v>300000</v>
      </c>
      <c r="J51" s="31">
        <v>300000</v>
      </c>
      <c r="K51" s="30"/>
      <c r="L51" s="30">
        <v>0</v>
      </c>
      <c r="M51" s="30">
        <v>0</v>
      </c>
      <c r="N51" s="52">
        <v>300000</v>
      </c>
      <c r="O51" s="31">
        <v>300000</v>
      </c>
      <c r="P51" s="30"/>
      <c r="Q51" s="30">
        <v>0</v>
      </c>
      <c r="R51" s="267">
        <v>0</v>
      </c>
      <c r="S51" s="52">
        <v>300000</v>
      </c>
    </row>
    <row r="52" spans="1:19" ht="15.75" customHeight="1" thickBot="1" x14ac:dyDescent="0.3">
      <c r="A52" s="19" t="s">
        <v>13</v>
      </c>
      <c r="B52" s="18"/>
      <c r="C52" s="173" t="s">
        <v>20</v>
      </c>
      <c r="D52" s="167">
        <f>SUM(D48:D51)</f>
        <v>647348512</v>
      </c>
      <c r="E52" s="167">
        <f>SUM(E48:E51)</f>
        <v>657640512</v>
      </c>
      <c r="F52" s="167"/>
      <c r="G52" s="167">
        <f>SUM(G48:G51)</f>
        <v>0</v>
      </c>
      <c r="H52" s="167">
        <f>SUM(H48:H51)</f>
        <v>0</v>
      </c>
      <c r="I52" s="167">
        <f>SUM(I48:I51)</f>
        <v>657640512</v>
      </c>
      <c r="J52" s="167">
        <f>SUM(J48:J51)</f>
        <v>682291512</v>
      </c>
      <c r="K52" s="167"/>
      <c r="L52" s="167">
        <f>SUM(L48:L51)</f>
        <v>0</v>
      </c>
      <c r="M52" s="167">
        <f>SUM(M48:M51)</f>
        <v>2900000</v>
      </c>
      <c r="N52" s="167">
        <f>SUM(N48:N51)</f>
        <v>685191512</v>
      </c>
      <c r="O52" s="167">
        <f>SUM(O48:O51)</f>
        <v>682291512</v>
      </c>
      <c r="P52" s="167"/>
      <c r="Q52" s="167">
        <f>SUM(Q48:Q51)</f>
        <v>0</v>
      </c>
      <c r="R52" s="271">
        <f>SUM(R48:R51)</f>
        <v>27865000</v>
      </c>
      <c r="S52" s="167">
        <f>SUM(S48:S51)</f>
        <v>710156512</v>
      </c>
    </row>
    <row r="53" spans="1:19" ht="15.75" customHeight="1" x14ac:dyDescent="0.25">
      <c r="A53" s="177" t="s">
        <v>14</v>
      </c>
      <c r="B53" s="176"/>
      <c r="C53" s="174" t="s">
        <v>116</v>
      </c>
      <c r="D53" s="44">
        <v>3554705000</v>
      </c>
      <c r="E53" s="31">
        <v>3609656000</v>
      </c>
      <c r="F53" s="30"/>
      <c r="G53" s="30">
        <v>122017000</v>
      </c>
      <c r="H53" s="30">
        <v>122017000</v>
      </c>
      <c r="I53" s="52">
        <f>3609656000+122017000</f>
        <v>3731673000</v>
      </c>
      <c r="J53" s="31">
        <v>3741283000</v>
      </c>
      <c r="K53" s="30"/>
      <c r="L53" s="30">
        <v>0</v>
      </c>
      <c r="M53" s="30">
        <v>0</v>
      </c>
      <c r="N53" s="52">
        <v>3741283000</v>
      </c>
      <c r="O53" s="31">
        <v>3741283000</v>
      </c>
      <c r="P53" s="30"/>
      <c r="Q53" s="30">
        <v>190000000</v>
      </c>
      <c r="R53" s="267">
        <v>190000000</v>
      </c>
      <c r="S53" s="52">
        <f>3741283000+190000000</f>
        <v>3931283000</v>
      </c>
    </row>
    <row r="54" spans="1:19" ht="15.75" customHeight="1" x14ac:dyDescent="0.25">
      <c r="A54" s="177" t="s">
        <v>14</v>
      </c>
      <c r="B54" s="176"/>
      <c r="C54" s="174" t="s">
        <v>142</v>
      </c>
      <c r="D54" s="44">
        <v>0</v>
      </c>
      <c r="E54" s="31">
        <v>0</v>
      </c>
      <c r="F54" s="30"/>
      <c r="G54" s="30">
        <v>0</v>
      </c>
      <c r="H54" s="30">
        <v>0</v>
      </c>
      <c r="I54" s="52">
        <v>0</v>
      </c>
      <c r="J54" s="31">
        <v>0</v>
      </c>
      <c r="K54" s="30"/>
      <c r="L54" s="30">
        <v>0</v>
      </c>
      <c r="M54" s="30">
        <v>0</v>
      </c>
      <c r="N54" s="52">
        <v>0</v>
      </c>
      <c r="O54" s="31">
        <v>0</v>
      </c>
      <c r="P54" s="30"/>
      <c r="Q54" s="30">
        <v>0</v>
      </c>
      <c r="R54" s="267">
        <v>0</v>
      </c>
      <c r="S54" s="52">
        <v>0</v>
      </c>
    </row>
    <row r="55" spans="1:19" ht="15.75" customHeight="1" x14ac:dyDescent="0.25">
      <c r="A55" s="177" t="s">
        <v>140</v>
      </c>
      <c r="B55" s="176"/>
      <c r="C55" s="174" t="s">
        <v>149</v>
      </c>
      <c r="D55" s="44">
        <v>0</v>
      </c>
      <c r="E55" s="31">
        <v>0</v>
      </c>
      <c r="F55" s="30"/>
      <c r="G55" s="30">
        <v>200000000</v>
      </c>
      <c r="H55" s="52">
        <v>210000000</v>
      </c>
      <c r="I55" s="52">
        <v>210000000</v>
      </c>
      <c r="J55" s="31">
        <v>0</v>
      </c>
      <c r="K55" s="30"/>
      <c r="L55" s="30">
        <v>200000000</v>
      </c>
      <c r="M55" s="52">
        <v>0</v>
      </c>
      <c r="N55" s="52">
        <v>0</v>
      </c>
      <c r="O55" s="31">
        <v>0</v>
      </c>
      <c r="P55" s="30"/>
      <c r="Q55" s="30">
        <v>200000000</v>
      </c>
      <c r="R55" s="275">
        <v>0</v>
      </c>
      <c r="S55" s="52">
        <v>0</v>
      </c>
    </row>
    <row r="56" spans="1:19" ht="15.75" customHeight="1" x14ac:dyDescent="0.25">
      <c r="A56" s="231" t="s">
        <v>140</v>
      </c>
      <c r="B56" s="232"/>
      <c r="C56" s="170" t="s">
        <v>147</v>
      </c>
      <c r="D56" s="44">
        <v>0</v>
      </c>
      <c r="E56" s="31">
        <v>0</v>
      </c>
      <c r="F56" s="30"/>
      <c r="G56" s="30"/>
      <c r="H56" s="30">
        <v>5192000</v>
      </c>
      <c r="I56" s="52">
        <v>5192000</v>
      </c>
      <c r="J56" s="31">
        <v>0</v>
      </c>
      <c r="K56" s="30"/>
      <c r="L56" s="30"/>
      <c r="M56" s="30">
        <v>130664000</v>
      </c>
      <c r="N56" s="52">
        <v>130664000</v>
      </c>
      <c r="O56" s="31">
        <v>0</v>
      </c>
      <c r="P56" s="30"/>
      <c r="Q56" s="30"/>
      <c r="R56" s="267">
        <v>282563000</v>
      </c>
      <c r="S56" s="52">
        <v>282563000</v>
      </c>
    </row>
    <row r="57" spans="1:19" ht="15.75" customHeight="1" thickBot="1" x14ac:dyDescent="0.3">
      <c r="A57" s="172" t="s">
        <v>14</v>
      </c>
      <c r="B57" s="171"/>
      <c r="C57" s="170" t="s">
        <v>115</v>
      </c>
      <c r="D57" s="44">
        <v>1578466000</v>
      </c>
      <c r="E57" s="31">
        <v>1637827000</v>
      </c>
      <c r="F57" s="30"/>
      <c r="G57" s="52">
        <v>100000000</v>
      </c>
      <c r="H57" s="52">
        <v>100000000</v>
      </c>
      <c r="I57" s="52">
        <f>1637827000+100000000</f>
        <v>1737827000</v>
      </c>
      <c r="J57" s="31">
        <v>1692647000</v>
      </c>
      <c r="K57" s="30"/>
      <c r="L57" s="30">
        <v>0</v>
      </c>
      <c r="M57" s="235">
        <v>100000000</v>
      </c>
      <c r="N57" s="52">
        <f>1692647000+100000000</f>
        <v>1792647000</v>
      </c>
      <c r="O57" s="31">
        <v>1692647000</v>
      </c>
      <c r="P57" s="30"/>
      <c r="Q57" s="30">
        <v>50000000</v>
      </c>
      <c r="R57" s="275">
        <v>100000000</v>
      </c>
      <c r="S57" s="52">
        <f>1692647000+100000000</f>
        <v>1792647000</v>
      </c>
    </row>
    <row r="58" spans="1:19" ht="15.75" customHeight="1" thickBot="1" x14ac:dyDescent="0.3">
      <c r="A58" s="169" t="s">
        <v>14</v>
      </c>
      <c r="B58" s="168"/>
      <c r="C58" s="17" t="s">
        <v>20</v>
      </c>
      <c r="D58" s="167">
        <f>SUM(D53:D57)</f>
        <v>5133171000</v>
      </c>
      <c r="E58" s="167">
        <f>SUM(E53:E57)</f>
        <v>5247483000</v>
      </c>
      <c r="F58" s="167"/>
      <c r="G58" s="167">
        <f>SUM(G53:G57)</f>
        <v>422017000</v>
      </c>
      <c r="H58" s="167">
        <f>SUM(H53:H57)</f>
        <v>437209000</v>
      </c>
      <c r="I58" s="167">
        <f>SUM(I53:I57)</f>
        <v>5684692000</v>
      </c>
      <c r="J58" s="167">
        <f>SUM(J53:J57)</f>
        <v>5433930000</v>
      </c>
      <c r="K58" s="167"/>
      <c r="L58" s="167">
        <f>SUM(L53:L57)</f>
        <v>200000000</v>
      </c>
      <c r="M58" s="167">
        <f>SUM(M53:M57)</f>
        <v>230664000</v>
      </c>
      <c r="N58" s="167">
        <f>SUM(N53:N57)</f>
        <v>5664594000</v>
      </c>
      <c r="O58" s="167">
        <f>SUM(O53:O57)</f>
        <v>5433930000</v>
      </c>
      <c r="P58" s="167"/>
      <c r="Q58" s="167">
        <f>SUM(Q53:Q57)</f>
        <v>440000000</v>
      </c>
      <c r="R58" s="271">
        <f>SUM(R53:R57)</f>
        <v>572563000</v>
      </c>
      <c r="S58" s="167">
        <f>SUM(S53:S57)</f>
        <v>6006493000</v>
      </c>
    </row>
    <row r="59" spans="1:19" ht="15.75" customHeight="1" thickBot="1" x14ac:dyDescent="0.3">
      <c r="A59" s="38" t="s">
        <v>21</v>
      </c>
      <c r="B59" s="166"/>
      <c r="C59" s="165" t="s">
        <v>114</v>
      </c>
      <c r="D59" s="44">
        <f>106445000+8000000+14000000</f>
        <v>128445000</v>
      </c>
      <c r="E59" s="31">
        <f>106445000+8000000+14000000</f>
        <v>128445000</v>
      </c>
      <c r="F59" s="52"/>
      <c r="G59" s="52">
        <v>6300000</v>
      </c>
      <c r="H59" s="52">
        <v>0</v>
      </c>
      <c r="I59" s="52">
        <f>106445000+8000000+14000000</f>
        <v>128445000</v>
      </c>
      <c r="J59" s="31">
        <f>106445000+8000000+14000000</f>
        <v>128445000</v>
      </c>
      <c r="K59" s="52"/>
      <c r="L59" s="52">
        <v>6300000</v>
      </c>
      <c r="M59" s="52">
        <v>0</v>
      </c>
      <c r="N59" s="52">
        <f>106445000+8000000+14000000</f>
        <v>128445000</v>
      </c>
      <c r="O59" s="31">
        <f>106445000+8000000+14000000</f>
        <v>128445000</v>
      </c>
      <c r="P59" s="52"/>
      <c r="Q59" s="52">
        <v>13300000</v>
      </c>
      <c r="R59" s="275">
        <v>0</v>
      </c>
      <c r="S59" s="52">
        <f>106445000+8000000+14000000</f>
        <v>128445000</v>
      </c>
    </row>
    <row r="60" spans="1:19" ht="15.75" customHeight="1" thickBot="1" x14ac:dyDescent="0.3">
      <c r="A60" s="164" t="s">
        <v>21</v>
      </c>
      <c r="B60" s="163"/>
      <c r="C60" s="162" t="s">
        <v>20</v>
      </c>
      <c r="D60" s="161">
        <f>SUM(D59:D59)</f>
        <v>128445000</v>
      </c>
      <c r="E60" s="161">
        <f>SUM(E59:E59)</f>
        <v>128445000</v>
      </c>
      <c r="F60" s="161"/>
      <c r="G60" s="161">
        <f>SUM(G59:G59)</f>
        <v>6300000</v>
      </c>
      <c r="H60" s="161">
        <f>SUM(H59:H59)</f>
        <v>0</v>
      </c>
      <c r="I60" s="161">
        <f>SUM(I59:I59)</f>
        <v>128445000</v>
      </c>
      <c r="J60" s="161">
        <f>SUM(J59:J59)</f>
        <v>128445000</v>
      </c>
      <c r="K60" s="161"/>
      <c r="L60" s="161">
        <f>SUM(L59:L59)</f>
        <v>6300000</v>
      </c>
      <c r="M60" s="161">
        <f>SUM(M59:M59)</f>
        <v>0</v>
      </c>
      <c r="N60" s="161">
        <f>SUM(N59:N59)</f>
        <v>128445000</v>
      </c>
      <c r="O60" s="161">
        <f>SUM(O59:O59)</f>
        <v>128445000</v>
      </c>
      <c r="P60" s="161"/>
      <c r="Q60" s="161">
        <f>SUM(Q59:Q59)</f>
        <v>13300000</v>
      </c>
      <c r="R60" s="276">
        <f>SUM(R59:R59)</f>
        <v>0</v>
      </c>
      <c r="S60" s="161">
        <f>SUM(S59:S59)</f>
        <v>128445000</v>
      </c>
    </row>
    <row r="61" spans="1:19" ht="15.75" customHeight="1" thickBot="1" x14ac:dyDescent="0.3">
      <c r="A61" s="160" t="s">
        <v>18</v>
      </c>
      <c r="B61" s="159"/>
      <c r="C61" s="158" t="s">
        <v>113</v>
      </c>
      <c r="D61" s="157">
        <f>D8+D10+D14+D16+D20+D22+D24+D29+D31+D36+D44+D47+D52+D58+D60</f>
        <v>16421359227</v>
      </c>
      <c r="E61" s="156">
        <f>E8+E10+E14+E16+E20+E22+E24+E29+E31+E36+E44+E47+E52+E58+E60</f>
        <v>17597474177</v>
      </c>
      <c r="F61" s="155"/>
      <c r="G61" s="154">
        <f>G8+G10+G14+G16+G20+G22+G24+G29+G31+G36+G44+G47+G52+G58+G60</f>
        <v>835093441</v>
      </c>
      <c r="H61" s="250">
        <f>H8+H10+H14+H16+H20+H22+H24+H29+H31+H36+H44+H47+H52+H58+H60</f>
        <v>883362339</v>
      </c>
      <c r="I61" s="291">
        <f>I8+I10+I14+I16+I20+I22+I24+I29+I31+I36+I44+I47+I52+I58+I60</f>
        <v>18480836516</v>
      </c>
      <c r="J61" s="156">
        <f>J8+J10+J14+J16+J20+J22+J24+J29+J31+J36+J44+J47+J52+J58+J60</f>
        <v>16892779188</v>
      </c>
      <c r="K61" s="155"/>
      <c r="L61" s="154">
        <f>L8+L10+L14+L16+L20+L22+L24+L29+L31+L36+L44+L47+L52+L58+L60</f>
        <v>1380824012</v>
      </c>
      <c r="M61" s="250">
        <f>M8+M10+M14+M16+M20+M22+M24+M29+M31+M36+M44+M47+M52+M58+M60</f>
        <v>2170449151</v>
      </c>
      <c r="N61" s="291">
        <f>N8+N10+N14+N16+N20+N22+N24+N29+N31+N36+N44+N47+N52+N58+N60</f>
        <v>19063228339</v>
      </c>
      <c r="O61" s="156">
        <f>O8+O10+O14+O16+O20+O22+O24+O29+O31+O36+O44+O47+O52+O58+O60</f>
        <v>16892779188</v>
      </c>
      <c r="P61" s="155"/>
      <c r="Q61" s="154">
        <f>Q8+Q10+Q14+Q16+Q20+Q22+Q24+Q29+Q31+Q36+Q44+Q47+Q52+Q58+Q60</f>
        <v>1034023012</v>
      </c>
      <c r="R61" s="277">
        <f>R8+R10+R14+R16+R20+R22+R24+R29+R31+R36+R44+R47+R52+R58+R60</f>
        <v>2296340151</v>
      </c>
      <c r="S61" s="291">
        <f>S8+S10+S14+S16+S20+S22+S24+S29+S31+S36+S44+S47+S52+S58+S60</f>
        <v>19189119339</v>
      </c>
    </row>
    <row r="62" spans="1:19" ht="9" customHeight="1" x14ac:dyDescent="0.25">
      <c r="A62" s="153"/>
      <c r="B62" s="153"/>
      <c r="C62" s="15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9" customHeight="1" thickBot="1" x14ac:dyDescent="0.3">
      <c r="A63" s="3"/>
      <c r="B63" s="3"/>
      <c r="C63" s="3"/>
      <c r="G63" s="151"/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</row>
    <row r="64" spans="1:19" ht="60" customHeight="1" thickBot="1" x14ac:dyDescent="0.3">
      <c r="A64" s="150" t="s">
        <v>112</v>
      </c>
      <c r="B64" s="149" t="s">
        <v>0</v>
      </c>
      <c r="C64" s="148" t="s">
        <v>111</v>
      </c>
      <c r="D64" s="147" t="s">
        <v>110</v>
      </c>
      <c r="E64" s="146" t="s">
        <v>109</v>
      </c>
      <c r="F64" s="145" t="s">
        <v>108</v>
      </c>
      <c r="G64" s="144" t="s">
        <v>107</v>
      </c>
      <c r="H64" s="249" t="s">
        <v>136</v>
      </c>
      <c r="I64" s="290" t="s">
        <v>151</v>
      </c>
      <c r="J64" s="146" t="s">
        <v>106</v>
      </c>
      <c r="K64" s="145" t="s">
        <v>105</v>
      </c>
      <c r="L64" s="144" t="s">
        <v>104</v>
      </c>
      <c r="M64" s="249" t="s">
        <v>137</v>
      </c>
      <c r="N64" s="290" t="s">
        <v>152</v>
      </c>
      <c r="O64" s="146" t="s">
        <v>103</v>
      </c>
      <c r="P64" s="145" t="s">
        <v>102</v>
      </c>
      <c r="Q64" s="144" t="s">
        <v>101</v>
      </c>
      <c r="R64" s="278" t="s">
        <v>138</v>
      </c>
      <c r="S64" s="290" t="s">
        <v>153</v>
      </c>
    </row>
    <row r="65" spans="1:19" s="99" customFormat="1" ht="15.75" customHeight="1" thickBot="1" x14ac:dyDescent="0.3">
      <c r="A65" s="143" t="s">
        <v>2</v>
      </c>
      <c r="B65" s="142"/>
      <c r="C65" s="236"/>
      <c r="D65" s="141">
        <v>0</v>
      </c>
      <c r="E65" s="140">
        <v>0</v>
      </c>
      <c r="F65" s="139"/>
      <c r="G65" s="139">
        <v>0</v>
      </c>
      <c r="H65" s="120">
        <v>0</v>
      </c>
      <c r="I65" s="139">
        <v>0</v>
      </c>
      <c r="J65" s="140">
        <v>0</v>
      </c>
      <c r="K65" s="139"/>
      <c r="L65" s="139">
        <v>0</v>
      </c>
      <c r="M65" s="120">
        <v>0</v>
      </c>
      <c r="N65" s="139">
        <v>0</v>
      </c>
      <c r="O65" s="140">
        <v>0</v>
      </c>
      <c r="P65" s="139"/>
      <c r="Q65" s="139">
        <v>0</v>
      </c>
      <c r="R65" s="279">
        <v>0</v>
      </c>
      <c r="S65" s="139">
        <v>0</v>
      </c>
    </row>
    <row r="66" spans="1:19" ht="15.75" customHeight="1" thickBot="1" x14ac:dyDescent="0.3">
      <c r="A66" s="74" t="s">
        <v>2</v>
      </c>
      <c r="B66" s="73"/>
      <c r="C66" s="72" t="s">
        <v>20</v>
      </c>
      <c r="D66" s="136">
        <f>SUM(D65:D65)</f>
        <v>0</v>
      </c>
      <c r="E66" s="136">
        <f>SUM(E65:E65)</f>
        <v>0</v>
      </c>
      <c r="F66" s="136"/>
      <c r="G66" s="71">
        <f>SUM(G65:G65)</f>
        <v>0</v>
      </c>
      <c r="H66" s="71">
        <f>SUM(H65:H65)</f>
        <v>0</v>
      </c>
      <c r="I66" s="136">
        <f>SUM(I65:I65)</f>
        <v>0</v>
      </c>
      <c r="J66" s="71">
        <f>SUM(J65:J65)</f>
        <v>0</v>
      </c>
      <c r="K66" s="71"/>
      <c r="L66" s="71">
        <f>SUM(L65:L65)</f>
        <v>0</v>
      </c>
      <c r="M66" s="71">
        <f>SUM(M65:M65)</f>
        <v>0</v>
      </c>
      <c r="N66" s="71">
        <f>SUM(N65:N65)</f>
        <v>0</v>
      </c>
      <c r="O66" s="71">
        <f>SUM(O65:O65)</f>
        <v>0</v>
      </c>
      <c r="P66" s="71"/>
      <c r="Q66" s="71">
        <f>SUM(Q65:Q65)</f>
        <v>0</v>
      </c>
      <c r="R66" s="136">
        <f>SUM(R65:R65)</f>
        <v>0</v>
      </c>
      <c r="S66" s="71">
        <f>SUM(S65:S65)</f>
        <v>0</v>
      </c>
    </row>
    <row r="67" spans="1:19" s="3" customFormat="1" ht="15.75" customHeight="1" thickBot="1" x14ac:dyDescent="0.3">
      <c r="A67" s="138" t="s">
        <v>3</v>
      </c>
      <c r="B67" s="115"/>
      <c r="C67" s="103"/>
      <c r="D67" s="137">
        <v>0</v>
      </c>
      <c r="E67" s="101">
        <v>0</v>
      </c>
      <c r="F67" s="100"/>
      <c r="G67" s="100">
        <v>0</v>
      </c>
      <c r="H67" s="100">
        <v>0</v>
      </c>
      <c r="I67" s="100">
        <v>0</v>
      </c>
      <c r="J67" s="101">
        <v>0</v>
      </c>
      <c r="K67" s="100"/>
      <c r="L67" s="100">
        <v>0</v>
      </c>
      <c r="M67" s="100">
        <v>0</v>
      </c>
      <c r="N67" s="100">
        <v>0</v>
      </c>
      <c r="O67" s="101">
        <v>0</v>
      </c>
      <c r="P67" s="100"/>
      <c r="Q67" s="100">
        <v>0</v>
      </c>
      <c r="R67" s="280">
        <v>0</v>
      </c>
      <c r="S67" s="100">
        <v>0</v>
      </c>
    </row>
    <row r="68" spans="1:19" ht="15.75" customHeight="1" thickBot="1" x14ac:dyDescent="0.3">
      <c r="A68" s="74" t="s">
        <v>3</v>
      </c>
      <c r="B68" s="73"/>
      <c r="C68" s="72" t="s">
        <v>20</v>
      </c>
      <c r="D68" s="136">
        <f>SUM(D67:D67)</f>
        <v>0</v>
      </c>
      <c r="E68" s="136">
        <f>SUM(E67:E67)</f>
        <v>0</v>
      </c>
      <c r="F68" s="136"/>
      <c r="G68" s="71">
        <f>SUM(G67:G67)</f>
        <v>0</v>
      </c>
      <c r="H68" s="71">
        <f>SUM(H67:H67)</f>
        <v>0</v>
      </c>
      <c r="I68" s="136">
        <f>SUM(I67:I67)</f>
        <v>0</v>
      </c>
      <c r="J68" s="71">
        <f>SUM(J67:J67)</f>
        <v>0</v>
      </c>
      <c r="K68" s="71"/>
      <c r="L68" s="71">
        <f>SUM(L67:L67)</f>
        <v>0</v>
      </c>
      <c r="M68" s="71">
        <f>SUM(M67:M67)</f>
        <v>0</v>
      </c>
      <c r="N68" s="71">
        <f>SUM(N67:N67)</f>
        <v>0</v>
      </c>
      <c r="O68" s="71">
        <f>SUM(O67:O67)</f>
        <v>0</v>
      </c>
      <c r="P68" s="71"/>
      <c r="Q68" s="71">
        <f>SUM(Q67:Q67)</f>
        <v>0</v>
      </c>
      <c r="R68" s="136">
        <f>SUM(R67:R67)</f>
        <v>0</v>
      </c>
      <c r="S68" s="71">
        <f>SUM(S67:S67)</f>
        <v>0</v>
      </c>
    </row>
    <row r="69" spans="1:19" ht="15.75" customHeight="1" x14ac:dyDescent="0.25">
      <c r="A69" s="135" t="s">
        <v>4</v>
      </c>
      <c r="B69" s="134" t="s">
        <v>100</v>
      </c>
      <c r="C69" s="133" t="s">
        <v>99</v>
      </c>
      <c r="D69" s="68">
        <v>93000000</v>
      </c>
      <c r="E69" s="65">
        <v>0</v>
      </c>
      <c r="F69" s="63"/>
      <c r="G69" s="63">
        <v>0</v>
      </c>
      <c r="H69" s="63">
        <v>0</v>
      </c>
      <c r="I69" s="297">
        <v>0</v>
      </c>
      <c r="J69" s="65">
        <v>0</v>
      </c>
      <c r="K69" s="63"/>
      <c r="L69" s="63">
        <v>0</v>
      </c>
      <c r="M69" s="63">
        <v>0</v>
      </c>
      <c r="N69" s="297">
        <v>0</v>
      </c>
      <c r="O69" s="65">
        <v>0</v>
      </c>
      <c r="P69" s="63">
        <v>0</v>
      </c>
      <c r="Q69" s="63">
        <v>0</v>
      </c>
      <c r="R69" s="281">
        <v>0</v>
      </c>
      <c r="S69" s="297">
        <v>0</v>
      </c>
    </row>
    <row r="70" spans="1:19" ht="15.75" customHeight="1" x14ac:dyDescent="0.25">
      <c r="A70" s="131" t="s">
        <v>4</v>
      </c>
      <c r="B70" s="130" t="s">
        <v>98</v>
      </c>
      <c r="C70" s="129" t="s">
        <v>97</v>
      </c>
      <c r="D70" s="128">
        <v>240000000</v>
      </c>
      <c r="E70" s="127">
        <v>333840000</v>
      </c>
      <c r="F70" s="132"/>
      <c r="G70" s="132">
        <v>0</v>
      </c>
      <c r="H70" s="132">
        <v>0</v>
      </c>
      <c r="I70" s="298">
        <v>333840000</v>
      </c>
      <c r="J70" s="127">
        <v>333240000</v>
      </c>
      <c r="K70" s="132"/>
      <c r="L70" s="132">
        <v>0</v>
      </c>
      <c r="M70" s="132">
        <v>0</v>
      </c>
      <c r="N70" s="298">
        <v>333240000</v>
      </c>
      <c r="O70" s="127">
        <v>333240000</v>
      </c>
      <c r="P70" s="306">
        <v>313240000</v>
      </c>
      <c r="Q70" s="132">
        <v>0</v>
      </c>
      <c r="R70" s="282">
        <v>0</v>
      </c>
      <c r="S70" s="298">
        <v>333240000</v>
      </c>
    </row>
    <row r="71" spans="1:19" ht="15.75" customHeight="1" thickBot="1" x14ac:dyDescent="0.3">
      <c r="A71" s="131" t="s">
        <v>4</v>
      </c>
      <c r="B71" s="130"/>
      <c r="C71" s="129" t="s">
        <v>150</v>
      </c>
      <c r="D71" s="128">
        <v>0</v>
      </c>
      <c r="E71" s="127">
        <v>0</v>
      </c>
      <c r="F71" s="126"/>
      <c r="G71" s="126">
        <v>0</v>
      </c>
      <c r="H71" s="126">
        <v>0</v>
      </c>
      <c r="I71" s="298">
        <v>0</v>
      </c>
      <c r="J71" s="127">
        <v>0</v>
      </c>
      <c r="K71" s="126"/>
      <c r="L71" s="126">
        <v>0</v>
      </c>
      <c r="M71" s="126">
        <v>0</v>
      </c>
      <c r="N71" s="298">
        <v>0</v>
      </c>
      <c r="O71" s="127">
        <v>0</v>
      </c>
      <c r="P71" s="307">
        <v>20000000</v>
      </c>
      <c r="Q71" s="126">
        <v>0</v>
      </c>
      <c r="R71" s="283">
        <v>0</v>
      </c>
      <c r="S71" s="298">
        <v>0</v>
      </c>
    </row>
    <row r="72" spans="1:19" ht="15.75" customHeight="1" thickBot="1" x14ac:dyDescent="0.3">
      <c r="A72" s="119" t="s">
        <v>4</v>
      </c>
      <c r="B72" s="118"/>
      <c r="C72" s="117" t="s">
        <v>20</v>
      </c>
      <c r="D72" s="116">
        <f>SUM(D69:D71)</f>
        <v>333000000</v>
      </c>
      <c r="E72" s="116">
        <f>SUM(E69:E71)</f>
        <v>333840000</v>
      </c>
      <c r="F72" s="116"/>
      <c r="G72" s="116">
        <f>SUM(G69:G71)</f>
        <v>0</v>
      </c>
      <c r="H72" s="116">
        <f>SUM(H69:H71)</f>
        <v>0</v>
      </c>
      <c r="I72" s="116">
        <f>SUM(I69:I71)</f>
        <v>333840000</v>
      </c>
      <c r="J72" s="116">
        <f>SUM(J69:J71)</f>
        <v>333240000</v>
      </c>
      <c r="K72" s="116"/>
      <c r="L72" s="116">
        <f t="shared" ref="L72:R72" si="8">SUM(L69:L71)</f>
        <v>0</v>
      </c>
      <c r="M72" s="116">
        <f t="shared" si="8"/>
        <v>0</v>
      </c>
      <c r="N72" s="116">
        <f>SUM(N69:N71)</f>
        <v>333240000</v>
      </c>
      <c r="O72" s="116">
        <f t="shared" si="8"/>
        <v>333240000</v>
      </c>
      <c r="P72" s="116">
        <f t="shared" si="8"/>
        <v>333240000</v>
      </c>
      <c r="Q72" s="116">
        <f t="shared" si="8"/>
        <v>0</v>
      </c>
      <c r="R72" s="284">
        <f t="shared" si="8"/>
        <v>0</v>
      </c>
      <c r="S72" s="116">
        <f t="shared" ref="S72" si="9">SUM(S69:S71)</f>
        <v>333240000</v>
      </c>
    </row>
    <row r="73" spans="1:19" s="99" customFormat="1" ht="15.75" customHeight="1" thickBot="1" x14ac:dyDescent="0.3">
      <c r="A73" s="125" t="s">
        <v>5</v>
      </c>
      <c r="B73" s="124"/>
      <c r="C73" s="123"/>
      <c r="D73" s="122">
        <v>0</v>
      </c>
      <c r="E73" s="121">
        <v>0</v>
      </c>
      <c r="F73" s="120"/>
      <c r="G73" s="120">
        <v>20000000</v>
      </c>
      <c r="H73" s="120">
        <v>0</v>
      </c>
      <c r="I73" s="120">
        <v>0</v>
      </c>
      <c r="J73" s="121">
        <v>0</v>
      </c>
      <c r="K73" s="120"/>
      <c r="L73" s="120">
        <v>20000000</v>
      </c>
      <c r="M73" s="120">
        <v>0</v>
      </c>
      <c r="N73" s="120">
        <v>0</v>
      </c>
      <c r="O73" s="121">
        <v>0</v>
      </c>
      <c r="P73" s="120"/>
      <c r="Q73" s="120">
        <v>30000000</v>
      </c>
      <c r="R73" s="279">
        <v>0</v>
      </c>
      <c r="S73" s="120">
        <v>0</v>
      </c>
    </row>
    <row r="74" spans="1:19" ht="15.75" customHeight="1" thickBot="1" x14ac:dyDescent="0.3">
      <c r="A74" s="119" t="s">
        <v>5</v>
      </c>
      <c r="B74" s="118"/>
      <c r="C74" s="117" t="s">
        <v>20</v>
      </c>
      <c r="D74" s="116">
        <f>SUM(D73:D73)</f>
        <v>0</v>
      </c>
      <c r="E74" s="116">
        <f>SUM(E73:E73)</f>
        <v>0</v>
      </c>
      <c r="F74" s="116"/>
      <c r="G74" s="116">
        <f>SUM(G73:G73)</f>
        <v>20000000</v>
      </c>
      <c r="H74" s="116">
        <f>SUM(H73:H73)</f>
        <v>0</v>
      </c>
      <c r="I74" s="116">
        <f>SUM(I73:I73)</f>
        <v>0</v>
      </c>
      <c r="J74" s="116">
        <f>SUM(J73:J73)</f>
        <v>0</v>
      </c>
      <c r="K74" s="116"/>
      <c r="L74" s="116">
        <f>SUM(L73:L73)</f>
        <v>20000000</v>
      </c>
      <c r="M74" s="116">
        <f>SUM(M73:M73)</f>
        <v>0</v>
      </c>
      <c r="N74" s="116">
        <f>SUM(N73:N73)</f>
        <v>0</v>
      </c>
      <c r="O74" s="116">
        <f>SUM(O73:O73)</f>
        <v>0</v>
      </c>
      <c r="P74" s="116"/>
      <c r="Q74" s="116">
        <f>SUM(Q73:Q73)</f>
        <v>30000000</v>
      </c>
      <c r="R74" s="284">
        <f>SUM(R73:R73)</f>
        <v>0</v>
      </c>
      <c r="S74" s="116">
        <f>SUM(S73:S73)</f>
        <v>0</v>
      </c>
    </row>
    <row r="75" spans="1:19" ht="15.75" customHeight="1" x14ac:dyDescent="0.25">
      <c r="A75" s="70" t="s">
        <v>6</v>
      </c>
      <c r="B75" s="69" t="s">
        <v>96</v>
      </c>
      <c r="C75" s="98" t="s">
        <v>95</v>
      </c>
      <c r="D75" s="68">
        <v>400000000</v>
      </c>
      <c r="E75" s="88">
        <v>400000000</v>
      </c>
      <c r="F75" s="87"/>
      <c r="G75" s="87">
        <v>200000000</v>
      </c>
      <c r="H75" s="87">
        <v>100000000</v>
      </c>
      <c r="I75" s="112">
        <f>400000000+100000000</f>
        <v>500000000</v>
      </c>
      <c r="J75" s="88">
        <v>400000000</v>
      </c>
      <c r="K75" s="87"/>
      <c r="L75" s="87">
        <v>100000000</v>
      </c>
      <c r="M75" s="87">
        <v>100000000</v>
      </c>
      <c r="N75" s="112">
        <f>400000000+100000000</f>
        <v>500000000</v>
      </c>
      <c r="O75" s="88">
        <v>400000000</v>
      </c>
      <c r="P75" s="87"/>
      <c r="Q75" s="87">
        <v>100000000</v>
      </c>
      <c r="R75" s="262">
        <v>100000000</v>
      </c>
      <c r="S75" s="112">
        <f>400000000+100000000</f>
        <v>500000000</v>
      </c>
    </row>
    <row r="76" spans="1:19" ht="15.75" customHeight="1" x14ac:dyDescent="0.25">
      <c r="A76" s="70" t="s">
        <v>6</v>
      </c>
      <c r="B76" s="54" t="s">
        <v>94</v>
      </c>
      <c r="C76" s="79" t="s">
        <v>93</v>
      </c>
      <c r="D76" s="44">
        <v>100000000</v>
      </c>
      <c r="E76" s="31">
        <v>100000000</v>
      </c>
      <c r="F76" s="87"/>
      <c r="G76" s="87">
        <v>40000000</v>
      </c>
      <c r="H76" s="87">
        <v>20000000</v>
      </c>
      <c r="I76" s="52">
        <f>100000000+20000000</f>
        <v>120000000</v>
      </c>
      <c r="J76" s="31">
        <v>100000000</v>
      </c>
      <c r="K76" s="87"/>
      <c r="L76" s="87">
        <v>50000000</v>
      </c>
      <c r="M76" s="87">
        <v>50000000</v>
      </c>
      <c r="N76" s="52">
        <f>100000000+50000000</f>
        <v>150000000</v>
      </c>
      <c r="O76" s="31">
        <v>100000000</v>
      </c>
      <c r="P76" s="87"/>
      <c r="Q76" s="87">
        <v>30000000</v>
      </c>
      <c r="R76" s="262">
        <v>30000000</v>
      </c>
      <c r="S76" s="52">
        <f>100000000+30000000</f>
        <v>130000000</v>
      </c>
    </row>
    <row r="77" spans="1:19" ht="15.75" customHeight="1" x14ac:dyDescent="0.25">
      <c r="A77" s="70" t="s">
        <v>6</v>
      </c>
      <c r="B77" s="69"/>
      <c r="C77" s="98" t="s">
        <v>92</v>
      </c>
      <c r="D77" s="68">
        <v>0</v>
      </c>
      <c r="E77" s="88">
        <v>0</v>
      </c>
      <c r="F77" s="87"/>
      <c r="G77" s="87">
        <v>0</v>
      </c>
      <c r="H77" s="87">
        <v>0</v>
      </c>
      <c r="I77" s="112">
        <v>0</v>
      </c>
      <c r="J77" s="88">
        <v>0</v>
      </c>
      <c r="K77" s="87"/>
      <c r="L77" s="87">
        <v>150000000</v>
      </c>
      <c r="M77" s="87">
        <v>150000000</v>
      </c>
      <c r="N77" s="112">
        <v>150000000</v>
      </c>
      <c r="O77" s="88">
        <v>0</v>
      </c>
      <c r="P77" s="87"/>
      <c r="Q77" s="87">
        <v>150000000</v>
      </c>
      <c r="R77" s="262">
        <v>150000000</v>
      </c>
      <c r="S77" s="112">
        <v>150000000</v>
      </c>
    </row>
    <row r="78" spans="1:19" ht="15.75" customHeight="1" thickBot="1" x14ac:dyDescent="0.3">
      <c r="A78" s="43" t="s">
        <v>6</v>
      </c>
      <c r="B78" s="54"/>
      <c r="C78" s="79" t="s">
        <v>91</v>
      </c>
      <c r="D78" s="44">
        <v>0</v>
      </c>
      <c r="E78" s="31">
        <v>0</v>
      </c>
      <c r="F78" s="30"/>
      <c r="G78" s="30">
        <v>0</v>
      </c>
      <c r="H78" s="30">
        <v>0</v>
      </c>
      <c r="I78" s="52">
        <v>0</v>
      </c>
      <c r="J78" s="31">
        <v>0</v>
      </c>
      <c r="K78" s="30"/>
      <c r="L78" s="30">
        <v>0</v>
      </c>
      <c r="M78" s="30">
        <v>0</v>
      </c>
      <c r="N78" s="52">
        <v>0</v>
      </c>
      <c r="O78" s="31">
        <v>0</v>
      </c>
      <c r="P78" s="30"/>
      <c r="Q78" s="30">
        <v>100000000</v>
      </c>
      <c r="R78" s="267">
        <v>100000000</v>
      </c>
      <c r="S78" s="52">
        <v>100000000</v>
      </c>
    </row>
    <row r="79" spans="1:19" ht="15.75" customHeight="1" thickBot="1" x14ac:dyDescent="0.3">
      <c r="A79" s="78" t="s">
        <v>6</v>
      </c>
      <c r="B79" s="73"/>
      <c r="C79" s="72" t="s">
        <v>20</v>
      </c>
      <c r="D79" s="71">
        <f>SUM(D75:D78)</f>
        <v>500000000</v>
      </c>
      <c r="E79" s="71">
        <f>SUM(E75:E78)</f>
        <v>500000000</v>
      </c>
      <c r="F79" s="71"/>
      <c r="G79" s="71">
        <f>SUM(G75:G78)</f>
        <v>240000000</v>
      </c>
      <c r="H79" s="71">
        <f>SUM(H75:H78)</f>
        <v>120000000</v>
      </c>
      <c r="I79" s="71">
        <f>SUM(I75:I78)</f>
        <v>620000000</v>
      </c>
      <c r="J79" s="71">
        <f>SUM(J75:J78)</f>
        <v>500000000</v>
      </c>
      <c r="K79" s="71"/>
      <c r="L79" s="71">
        <f>SUM(L75:L78)</f>
        <v>300000000</v>
      </c>
      <c r="M79" s="71">
        <f>SUM(M75:M78)</f>
        <v>300000000</v>
      </c>
      <c r="N79" s="71">
        <f>SUM(N75:N78)</f>
        <v>800000000</v>
      </c>
      <c r="O79" s="71">
        <f>SUM(O75:O78)</f>
        <v>500000000</v>
      </c>
      <c r="P79" s="71"/>
      <c r="Q79" s="71">
        <f>SUM(Q75:Q78)</f>
        <v>380000000</v>
      </c>
      <c r="R79" s="136">
        <f>SUM(R75:R78)</f>
        <v>380000000</v>
      </c>
      <c r="S79" s="71">
        <f>SUM(S75:S78)</f>
        <v>880000000</v>
      </c>
    </row>
    <row r="80" spans="1:19" s="99" customFormat="1" ht="15.75" customHeight="1" thickBot="1" x14ac:dyDescent="0.3">
      <c r="A80" s="105" t="s">
        <v>7</v>
      </c>
      <c r="B80" s="115"/>
      <c r="C80" s="103"/>
      <c r="D80" s="102">
        <v>0</v>
      </c>
      <c r="E80" s="101">
        <v>0</v>
      </c>
      <c r="F80" s="100"/>
      <c r="G80" s="100">
        <v>0</v>
      </c>
      <c r="H80" s="100">
        <v>0</v>
      </c>
      <c r="I80" s="100">
        <v>0</v>
      </c>
      <c r="J80" s="101">
        <v>0</v>
      </c>
      <c r="K80" s="100"/>
      <c r="L80" s="100">
        <v>0</v>
      </c>
      <c r="M80" s="100">
        <v>0</v>
      </c>
      <c r="N80" s="100">
        <v>0</v>
      </c>
      <c r="O80" s="101">
        <v>0</v>
      </c>
      <c r="P80" s="100"/>
      <c r="Q80" s="100">
        <v>0</v>
      </c>
      <c r="R80" s="280">
        <v>0</v>
      </c>
      <c r="S80" s="100">
        <v>0</v>
      </c>
    </row>
    <row r="81" spans="1:19" ht="15.75" customHeight="1" thickBot="1" x14ac:dyDescent="0.3">
      <c r="A81" s="78" t="s">
        <v>7</v>
      </c>
      <c r="B81" s="73"/>
      <c r="C81" s="72" t="s">
        <v>20</v>
      </c>
      <c r="D81" s="71">
        <f>SUM(D80:D80)</f>
        <v>0</v>
      </c>
      <c r="E81" s="71">
        <f>SUM(E80:E80)</f>
        <v>0</v>
      </c>
      <c r="F81" s="71"/>
      <c r="G81" s="71">
        <f>SUM(G80:G80)</f>
        <v>0</v>
      </c>
      <c r="H81" s="71">
        <f>SUM(H80:H80)</f>
        <v>0</v>
      </c>
      <c r="I81" s="71">
        <f>SUM(I80:I80)</f>
        <v>0</v>
      </c>
      <c r="J81" s="71">
        <f>SUM(J80:J80)</f>
        <v>0</v>
      </c>
      <c r="K81" s="71"/>
      <c r="L81" s="71">
        <f>SUM(L80:L80)</f>
        <v>0</v>
      </c>
      <c r="M81" s="71">
        <f>SUM(M80:M80)</f>
        <v>0</v>
      </c>
      <c r="N81" s="71">
        <f>SUM(N80:N80)</f>
        <v>0</v>
      </c>
      <c r="O81" s="71">
        <f>SUM(O80:O80)</f>
        <v>0</v>
      </c>
      <c r="P81" s="71"/>
      <c r="Q81" s="71">
        <f>SUM(Q80:Q80)</f>
        <v>0</v>
      </c>
      <c r="R81" s="136">
        <f>SUM(R80:R80)</f>
        <v>0</v>
      </c>
      <c r="S81" s="71">
        <f>SUM(S80:S80)</f>
        <v>0</v>
      </c>
    </row>
    <row r="82" spans="1:19" ht="15.75" customHeight="1" x14ac:dyDescent="0.25">
      <c r="A82" s="107" t="s">
        <v>8</v>
      </c>
      <c r="B82" s="114" t="s">
        <v>90</v>
      </c>
      <c r="C82" s="113" t="s">
        <v>89</v>
      </c>
      <c r="D82" s="68">
        <f>3203241000-100000000-25000000</f>
        <v>3078241000</v>
      </c>
      <c r="E82" s="88">
        <f>3127762000-100000000</f>
        <v>3027762000</v>
      </c>
      <c r="F82" s="112"/>
      <c r="G82" s="112">
        <v>0</v>
      </c>
      <c r="H82" s="112">
        <v>0</v>
      </c>
      <c r="I82" s="112">
        <f>3127762000-100000000</f>
        <v>3027762000</v>
      </c>
      <c r="J82" s="88">
        <f>2957942000-100000000</f>
        <v>2857942000</v>
      </c>
      <c r="K82" s="66">
        <v>3050000000</v>
      </c>
      <c r="L82" s="112">
        <v>0</v>
      </c>
      <c r="M82" s="112">
        <v>189000000</v>
      </c>
      <c r="N82" s="112">
        <f>2957942000-100000000+189000000</f>
        <v>3046942000</v>
      </c>
      <c r="O82" s="88">
        <f>2957942000-100000000</f>
        <v>2857942000</v>
      </c>
      <c r="P82" s="66">
        <v>3050000000</v>
      </c>
      <c r="Q82" s="112">
        <v>145418000</v>
      </c>
      <c r="R82" s="285">
        <v>145418000</v>
      </c>
      <c r="S82" s="112">
        <f>2957942000-100000000+145418000</f>
        <v>3003360000</v>
      </c>
    </row>
    <row r="83" spans="1:19" ht="15.75" customHeight="1" x14ac:dyDescent="0.25">
      <c r="A83" s="94" t="s">
        <v>8</v>
      </c>
      <c r="B83" s="54" t="s">
        <v>88</v>
      </c>
      <c r="C83" s="79" t="s">
        <v>87</v>
      </c>
      <c r="D83" s="44">
        <v>103824000</v>
      </c>
      <c r="E83" s="31">
        <v>129059000</v>
      </c>
      <c r="F83" s="30"/>
      <c r="G83" s="30">
        <v>0</v>
      </c>
      <c r="H83" s="30">
        <v>0</v>
      </c>
      <c r="I83" s="52">
        <v>129059000</v>
      </c>
      <c r="J83" s="31">
        <v>89059000</v>
      </c>
      <c r="K83" s="39">
        <v>129059000</v>
      </c>
      <c r="L83" s="30">
        <v>0</v>
      </c>
      <c r="M83" s="30">
        <v>0</v>
      </c>
      <c r="N83" s="52">
        <v>89059000</v>
      </c>
      <c r="O83" s="31">
        <v>89059000</v>
      </c>
      <c r="P83" s="39">
        <v>129059000</v>
      </c>
      <c r="Q83" s="30">
        <v>0</v>
      </c>
      <c r="R83" s="267">
        <v>0</v>
      </c>
      <c r="S83" s="52">
        <v>89059000</v>
      </c>
    </row>
    <row r="84" spans="1:19" ht="15.75" customHeight="1" x14ac:dyDescent="0.25">
      <c r="A84" s="94" t="s">
        <v>8</v>
      </c>
      <c r="B84" s="54" t="s">
        <v>86</v>
      </c>
      <c r="C84" s="79" t="s">
        <v>85</v>
      </c>
      <c r="D84" s="44">
        <v>483479000</v>
      </c>
      <c r="E84" s="31">
        <v>483479000</v>
      </c>
      <c r="F84" s="30"/>
      <c r="G84" s="30">
        <v>0</v>
      </c>
      <c r="H84" s="30">
        <v>0</v>
      </c>
      <c r="I84" s="52">
        <v>483479000</v>
      </c>
      <c r="J84" s="31">
        <v>593479000</v>
      </c>
      <c r="K84" s="39">
        <v>361421000</v>
      </c>
      <c r="L84" s="30">
        <v>188579000</v>
      </c>
      <c r="M84" s="30">
        <v>0</v>
      </c>
      <c r="N84" s="52">
        <v>593479000</v>
      </c>
      <c r="O84" s="31">
        <v>593479000</v>
      </c>
      <c r="P84" s="39">
        <v>361421000</v>
      </c>
      <c r="Q84" s="30">
        <v>588579000</v>
      </c>
      <c r="R84" s="267">
        <v>588579000</v>
      </c>
      <c r="S84" s="52">
        <f>593479000+588579000</f>
        <v>1182058000</v>
      </c>
    </row>
    <row r="85" spans="1:19" ht="15.75" customHeight="1" x14ac:dyDescent="0.25">
      <c r="A85" s="94" t="s">
        <v>8</v>
      </c>
      <c r="B85" s="54" t="s">
        <v>84</v>
      </c>
      <c r="C85" s="111" t="s">
        <v>83</v>
      </c>
      <c r="D85" s="44">
        <v>72100000</v>
      </c>
      <c r="E85" s="31">
        <v>72983000</v>
      </c>
      <c r="F85" s="30"/>
      <c r="G85" s="30">
        <v>0</v>
      </c>
      <c r="H85" s="30">
        <v>0</v>
      </c>
      <c r="I85" s="52">
        <v>72983000</v>
      </c>
      <c r="J85" s="31">
        <v>72983000</v>
      </c>
      <c r="K85" s="30">
        <v>72983000</v>
      </c>
      <c r="L85" s="30">
        <v>0</v>
      </c>
      <c r="M85" s="30">
        <v>0</v>
      </c>
      <c r="N85" s="52">
        <v>72983000</v>
      </c>
      <c r="O85" s="31">
        <v>72983000</v>
      </c>
      <c r="P85" s="30">
        <v>72983000</v>
      </c>
      <c r="Q85" s="30">
        <v>0</v>
      </c>
      <c r="R85" s="267">
        <v>0</v>
      </c>
      <c r="S85" s="52">
        <v>72983000</v>
      </c>
    </row>
    <row r="86" spans="1:19" ht="15.75" customHeight="1" x14ac:dyDescent="0.25">
      <c r="A86" s="110" t="s">
        <v>8</v>
      </c>
      <c r="B86" s="46" t="s">
        <v>82</v>
      </c>
      <c r="C86" s="109" t="s">
        <v>81</v>
      </c>
      <c r="D86" s="44">
        <v>400000000</v>
      </c>
      <c r="E86" s="31">
        <v>500000000</v>
      </c>
      <c r="F86" s="30"/>
      <c r="G86" s="30">
        <v>0</v>
      </c>
      <c r="H86" s="30">
        <v>0</v>
      </c>
      <c r="I86" s="52">
        <v>500000000</v>
      </c>
      <c r="J86" s="31">
        <v>600000000</v>
      </c>
      <c r="K86" s="30">
        <v>600000000</v>
      </c>
      <c r="L86" s="30">
        <v>0</v>
      </c>
      <c r="M86" s="30">
        <v>0</v>
      </c>
      <c r="N86" s="52">
        <v>600000000</v>
      </c>
      <c r="O86" s="31">
        <v>600000000</v>
      </c>
      <c r="P86" s="30">
        <v>600000000</v>
      </c>
      <c r="Q86" s="30">
        <v>0</v>
      </c>
      <c r="R86" s="267">
        <v>0</v>
      </c>
      <c r="S86" s="52">
        <v>600000000</v>
      </c>
    </row>
    <row r="87" spans="1:19" ht="15.75" customHeight="1" thickBot="1" x14ac:dyDescent="0.3">
      <c r="A87" s="110" t="s">
        <v>8</v>
      </c>
      <c r="B87" s="46"/>
      <c r="C87" s="109" t="s">
        <v>80</v>
      </c>
      <c r="D87" s="44">
        <v>10000000</v>
      </c>
      <c r="E87" s="31">
        <v>10000000</v>
      </c>
      <c r="F87" s="30"/>
      <c r="G87" s="30">
        <v>0</v>
      </c>
      <c r="H87" s="30">
        <v>0</v>
      </c>
      <c r="I87" s="52">
        <v>10000000</v>
      </c>
      <c r="J87" s="31">
        <v>10000000</v>
      </c>
      <c r="K87" s="30">
        <v>10000000</v>
      </c>
      <c r="L87" s="30">
        <v>0</v>
      </c>
      <c r="M87" s="30">
        <v>0</v>
      </c>
      <c r="N87" s="52">
        <v>10000000</v>
      </c>
      <c r="O87" s="31">
        <v>10000000</v>
      </c>
      <c r="P87" s="30">
        <v>10000000</v>
      </c>
      <c r="Q87" s="30">
        <v>0</v>
      </c>
      <c r="R87" s="267">
        <v>0</v>
      </c>
      <c r="S87" s="52">
        <v>10000000</v>
      </c>
    </row>
    <row r="88" spans="1:19" ht="15.75" customHeight="1" thickBot="1" x14ac:dyDescent="0.3">
      <c r="A88" s="74" t="s">
        <v>8</v>
      </c>
      <c r="B88" s="73"/>
      <c r="C88" s="108" t="s">
        <v>20</v>
      </c>
      <c r="D88" s="71">
        <f>SUM(D82:D87)</f>
        <v>4147644000</v>
      </c>
      <c r="E88" s="71">
        <f>SUM(E82:E87)</f>
        <v>4223283000</v>
      </c>
      <c r="F88" s="71"/>
      <c r="G88" s="71">
        <f t="shared" ref="G88:R88" si="10">SUM(G82:G87)</f>
        <v>0</v>
      </c>
      <c r="H88" s="71">
        <f t="shared" si="10"/>
        <v>0</v>
      </c>
      <c r="I88" s="71">
        <f>SUM(I82:I87)</f>
        <v>4223283000</v>
      </c>
      <c r="J88" s="71">
        <f t="shared" si="10"/>
        <v>4223463000</v>
      </c>
      <c r="K88" s="71">
        <f t="shared" si="10"/>
        <v>4223463000</v>
      </c>
      <c r="L88" s="71">
        <f t="shared" si="10"/>
        <v>188579000</v>
      </c>
      <c r="M88" s="71">
        <f t="shared" si="10"/>
        <v>189000000</v>
      </c>
      <c r="N88" s="71">
        <f t="shared" ref="N88" si="11">SUM(N82:N87)</f>
        <v>4412463000</v>
      </c>
      <c r="O88" s="71">
        <f t="shared" si="10"/>
        <v>4223463000</v>
      </c>
      <c r="P88" s="71">
        <f t="shared" si="10"/>
        <v>4223463000</v>
      </c>
      <c r="Q88" s="71">
        <f t="shared" si="10"/>
        <v>733997000</v>
      </c>
      <c r="R88" s="136">
        <f t="shared" si="10"/>
        <v>733997000</v>
      </c>
      <c r="S88" s="71">
        <f t="shared" ref="S88" si="12">SUM(S82:S87)</f>
        <v>4957460000</v>
      </c>
    </row>
    <row r="89" spans="1:19" ht="15.75" customHeight="1" x14ac:dyDescent="0.25">
      <c r="A89" s="107" t="s">
        <v>9</v>
      </c>
      <c r="B89" s="54" t="s">
        <v>79</v>
      </c>
      <c r="C89" s="79" t="s">
        <v>78</v>
      </c>
      <c r="D89" s="44">
        <f>1200252000-150000000</f>
        <v>1050252000</v>
      </c>
      <c r="E89" s="31">
        <f>1130252000-150000000</f>
        <v>980252000</v>
      </c>
      <c r="F89" s="52"/>
      <c r="G89" s="52">
        <v>352748000</v>
      </c>
      <c r="H89" s="52">
        <v>0</v>
      </c>
      <c r="I89" s="52">
        <f>1130252000-150000000</f>
        <v>980252000</v>
      </c>
      <c r="J89" s="31">
        <f>1540252000-150000000</f>
        <v>1390252000</v>
      </c>
      <c r="K89" s="39">
        <v>1140000000</v>
      </c>
      <c r="L89" s="52">
        <v>0</v>
      </c>
      <c r="M89" s="52">
        <v>0</v>
      </c>
      <c r="N89" s="52">
        <f>1540252000-150000000</f>
        <v>1390252000</v>
      </c>
      <c r="O89" s="31">
        <f>1540252000-150000000</f>
        <v>1390252000</v>
      </c>
      <c r="P89" s="39">
        <v>627000000</v>
      </c>
      <c r="Q89" s="52">
        <v>0</v>
      </c>
      <c r="R89" s="275">
        <v>0</v>
      </c>
      <c r="S89" s="52">
        <f>1540252000-150000000</f>
        <v>1390252000</v>
      </c>
    </row>
    <row r="90" spans="1:19" ht="15.75" customHeight="1" thickBot="1" x14ac:dyDescent="0.3">
      <c r="A90" s="43" t="s">
        <v>9</v>
      </c>
      <c r="B90" s="54"/>
      <c r="C90" s="79" t="s">
        <v>77</v>
      </c>
      <c r="D90" s="44">
        <v>0</v>
      </c>
      <c r="E90" s="31">
        <v>0</v>
      </c>
      <c r="F90" s="52"/>
      <c r="G90" s="52">
        <v>0</v>
      </c>
      <c r="H90" s="52">
        <v>0</v>
      </c>
      <c r="I90" s="52">
        <v>0</v>
      </c>
      <c r="J90" s="31">
        <v>0</v>
      </c>
      <c r="K90" s="39">
        <v>250252000</v>
      </c>
      <c r="L90" s="52">
        <v>549748000</v>
      </c>
      <c r="M90" s="52">
        <v>0</v>
      </c>
      <c r="N90" s="52">
        <v>0</v>
      </c>
      <c r="O90" s="31">
        <v>0</v>
      </c>
      <c r="P90" s="39">
        <v>763252000</v>
      </c>
      <c r="Q90" s="52">
        <v>1251748000</v>
      </c>
      <c r="R90" s="275">
        <v>0</v>
      </c>
      <c r="S90" s="52">
        <v>0</v>
      </c>
    </row>
    <row r="91" spans="1:19" ht="15.75" customHeight="1" thickBot="1" x14ac:dyDescent="0.3">
      <c r="A91" s="78" t="s">
        <v>9</v>
      </c>
      <c r="B91" s="106"/>
      <c r="C91" s="72" t="s">
        <v>20</v>
      </c>
      <c r="D91" s="71">
        <f>SUM(D89:D90)</f>
        <v>1050252000</v>
      </c>
      <c r="E91" s="71">
        <f>SUM(E89:E90)</f>
        <v>980252000</v>
      </c>
      <c r="F91" s="71"/>
      <c r="G91" s="71">
        <f t="shared" ref="G91:R91" si="13">SUM(G89:G90)</f>
        <v>352748000</v>
      </c>
      <c r="H91" s="71">
        <f t="shared" si="13"/>
        <v>0</v>
      </c>
      <c r="I91" s="71">
        <f>SUM(I89:I90)</f>
        <v>980252000</v>
      </c>
      <c r="J91" s="71">
        <f t="shared" si="13"/>
        <v>1390252000</v>
      </c>
      <c r="K91" s="71">
        <f t="shared" si="13"/>
        <v>1390252000</v>
      </c>
      <c r="L91" s="71">
        <f t="shared" si="13"/>
        <v>549748000</v>
      </c>
      <c r="M91" s="71">
        <f t="shared" si="13"/>
        <v>0</v>
      </c>
      <c r="N91" s="71">
        <f t="shared" ref="N91" si="14">SUM(N89:N90)</f>
        <v>1390252000</v>
      </c>
      <c r="O91" s="71">
        <f t="shared" si="13"/>
        <v>1390252000</v>
      </c>
      <c r="P91" s="71">
        <f t="shared" si="13"/>
        <v>1390252000</v>
      </c>
      <c r="Q91" s="71">
        <f t="shared" si="13"/>
        <v>1251748000</v>
      </c>
      <c r="R91" s="136">
        <f t="shared" si="13"/>
        <v>0</v>
      </c>
      <c r="S91" s="71">
        <f t="shared" ref="S91" si="15">SUM(S89:S90)</f>
        <v>1390252000</v>
      </c>
    </row>
    <row r="92" spans="1:19" s="99" customFormat="1" ht="15.75" customHeight="1" thickBot="1" x14ac:dyDescent="0.3">
      <c r="A92" s="105" t="s">
        <v>10</v>
      </c>
      <c r="B92" s="104"/>
      <c r="C92" s="103" t="s">
        <v>141</v>
      </c>
      <c r="D92" s="102">
        <v>0</v>
      </c>
      <c r="E92" s="101">
        <v>0</v>
      </c>
      <c r="F92" s="100"/>
      <c r="G92" s="100">
        <v>130000000</v>
      </c>
      <c r="H92" s="100">
        <v>0</v>
      </c>
      <c r="I92" s="100">
        <v>0</v>
      </c>
      <c r="J92" s="101">
        <v>0</v>
      </c>
      <c r="K92" s="100"/>
      <c r="L92" s="100">
        <v>190000000</v>
      </c>
      <c r="M92" s="100">
        <v>0</v>
      </c>
      <c r="N92" s="100">
        <v>0</v>
      </c>
      <c r="O92" s="101">
        <v>0</v>
      </c>
      <c r="P92" s="100"/>
      <c r="Q92" s="100">
        <v>250000000</v>
      </c>
      <c r="R92" s="280">
        <v>0</v>
      </c>
      <c r="S92" s="100">
        <v>0</v>
      </c>
    </row>
    <row r="93" spans="1:19" ht="15.75" customHeight="1" thickBot="1" x14ac:dyDescent="0.3">
      <c r="A93" s="78" t="s">
        <v>10</v>
      </c>
      <c r="B93" s="73"/>
      <c r="C93" s="72" t="s">
        <v>20</v>
      </c>
      <c r="D93" s="71">
        <f>SUM(D92:D92)</f>
        <v>0</v>
      </c>
      <c r="E93" s="71">
        <f>SUM(E92:E92)</f>
        <v>0</v>
      </c>
      <c r="F93" s="71"/>
      <c r="G93" s="71">
        <f>SUM(G92:G92)</f>
        <v>130000000</v>
      </c>
      <c r="H93" s="71">
        <f>SUM(H92:H92)</f>
        <v>0</v>
      </c>
      <c r="I93" s="71">
        <f>SUM(I92:I92)</f>
        <v>0</v>
      </c>
      <c r="J93" s="71">
        <f>SUM(J92:J92)</f>
        <v>0</v>
      </c>
      <c r="K93" s="71"/>
      <c r="L93" s="71">
        <f>SUM(L92:L92)</f>
        <v>190000000</v>
      </c>
      <c r="M93" s="71">
        <f>SUM(M92:M92)</f>
        <v>0</v>
      </c>
      <c r="N93" s="71">
        <f>SUM(N92:N92)</f>
        <v>0</v>
      </c>
      <c r="O93" s="71">
        <f>SUM(O92:O92)</f>
        <v>0</v>
      </c>
      <c r="P93" s="71"/>
      <c r="Q93" s="71">
        <f>SUM(Q92:Q92)</f>
        <v>250000000</v>
      </c>
      <c r="R93" s="136">
        <f>SUM(R92:R92)</f>
        <v>0</v>
      </c>
      <c r="S93" s="71">
        <f>SUM(S92:S92)</f>
        <v>0</v>
      </c>
    </row>
    <row r="94" spans="1:19" ht="15.75" customHeight="1" x14ac:dyDescent="0.25">
      <c r="A94" s="82" t="s">
        <v>11</v>
      </c>
      <c r="B94" s="81" t="s">
        <v>76</v>
      </c>
      <c r="C94" s="98" t="s">
        <v>75</v>
      </c>
      <c r="D94" s="68">
        <v>375453000</v>
      </c>
      <c r="E94" s="88">
        <v>270038000</v>
      </c>
      <c r="F94" s="87"/>
      <c r="G94" s="87">
        <v>0</v>
      </c>
      <c r="H94" s="87">
        <v>0</v>
      </c>
      <c r="I94" s="112">
        <v>270038000</v>
      </c>
      <c r="J94" s="88">
        <v>0</v>
      </c>
      <c r="K94" s="87"/>
      <c r="L94" s="87">
        <v>0</v>
      </c>
      <c r="M94" s="87">
        <v>0</v>
      </c>
      <c r="N94" s="112">
        <v>0</v>
      </c>
      <c r="O94" s="88">
        <v>0</v>
      </c>
      <c r="P94" s="87"/>
      <c r="Q94" s="87">
        <v>0</v>
      </c>
      <c r="R94" s="262">
        <v>0</v>
      </c>
      <c r="S94" s="112">
        <v>0</v>
      </c>
    </row>
    <row r="95" spans="1:19" ht="15.75" customHeight="1" thickBot="1" x14ac:dyDescent="0.3">
      <c r="A95" s="43" t="s">
        <v>11</v>
      </c>
      <c r="B95" s="54" t="s">
        <v>1</v>
      </c>
      <c r="C95" s="79" t="s">
        <v>74</v>
      </c>
      <c r="D95" s="44">
        <v>50647000</v>
      </c>
      <c r="E95" s="31">
        <v>156062000</v>
      </c>
      <c r="F95" s="30"/>
      <c r="G95" s="30">
        <v>0</v>
      </c>
      <c r="H95" s="30">
        <v>0</v>
      </c>
      <c r="I95" s="52">
        <v>156062000</v>
      </c>
      <c r="J95" s="31">
        <v>490000000</v>
      </c>
      <c r="K95" s="30"/>
      <c r="L95" s="30">
        <v>0</v>
      </c>
      <c r="M95" s="30">
        <v>0</v>
      </c>
      <c r="N95" s="52">
        <v>490000000</v>
      </c>
      <c r="O95" s="31">
        <v>490000000</v>
      </c>
      <c r="P95" s="30"/>
      <c r="Q95" s="30">
        <v>0</v>
      </c>
      <c r="R95" s="267">
        <v>0</v>
      </c>
      <c r="S95" s="52">
        <v>490000000</v>
      </c>
    </row>
    <row r="96" spans="1:19" ht="15.75" customHeight="1" thickBot="1" x14ac:dyDescent="0.3">
      <c r="A96" s="78" t="s">
        <v>11</v>
      </c>
      <c r="B96" s="73"/>
      <c r="C96" s="72" t="s">
        <v>20</v>
      </c>
      <c r="D96" s="71">
        <f>SUM(D94:D95)</f>
        <v>426100000</v>
      </c>
      <c r="E96" s="71">
        <f>SUM(E94:E95)</f>
        <v>426100000</v>
      </c>
      <c r="F96" s="71"/>
      <c r="G96" s="71">
        <f>SUM(G94:G95)</f>
        <v>0</v>
      </c>
      <c r="H96" s="71">
        <f>SUM(H94:H95)</f>
        <v>0</v>
      </c>
      <c r="I96" s="71">
        <f>SUM(I94:I95)</f>
        <v>426100000</v>
      </c>
      <c r="J96" s="71">
        <f>SUM(J94:J95)</f>
        <v>490000000</v>
      </c>
      <c r="K96" s="71"/>
      <c r="L96" s="71">
        <f>SUM(L94:L95)</f>
        <v>0</v>
      </c>
      <c r="M96" s="71">
        <f>SUM(M94:M95)</f>
        <v>0</v>
      </c>
      <c r="N96" s="71">
        <f>SUM(N94:N95)</f>
        <v>490000000</v>
      </c>
      <c r="O96" s="71">
        <f>SUM(O94:O95)</f>
        <v>490000000</v>
      </c>
      <c r="P96" s="71"/>
      <c r="Q96" s="71">
        <f>SUM(Q94:Q95)</f>
        <v>0</v>
      </c>
      <c r="R96" s="136">
        <f>SUM(R94:R95)</f>
        <v>0</v>
      </c>
      <c r="S96" s="71">
        <f>SUM(S94:S95)</f>
        <v>490000000</v>
      </c>
    </row>
    <row r="97" spans="1:21" ht="15.75" customHeight="1" x14ac:dyDescent="0.25">
      <c r="A97" s="97" t="s">
        <v>12</v>
      </c>
      <c r="B97" s="96" t="s">
        <v>1</v>
      </c>
      <c r="C97" s="95" t="s">
        <v>73</v>
      </c>
      <c r="D97" s="44">
        <v>1165308000</v>
      </c>
      <c r="E97" s="31">
        <v>1165308000</v>
      </c>
      <c r="F97" s="30"/>
      <c r="G97" s="30">
        <v>0</v>
      </c>
      <c r="H97" s="30">
        <v>0</v>
      </c>
      <c r="I97" s="52">
        <v>1165308000</v>
      </c>
      <c r="J97" s="31">
        <v>1165308000</v>
      </c>
      <c r="K97" s="30"/>
      <c r="L97" s="30">
        <v>0</v>
      </c>
      <c r="M97" s="30">
        <v>0</v>
      </c>
      <c r="N97" s="52">
        <v>1165308000</v>
      </c>
      <c r="O97" s="31">
        <v>1165308000</v>
      </c>
      <c r="P97" s="30">
        <v>1165308000</v>
      </c>
      <c r="Q97" s="30">
        <v>0</v>
      </c>
      <c r="R97" s="267">
        <v>0</v>
      </c>
      <c r="S97" s="52">
        <v>1165308000</v>
      </c>
    </row>
    <row r="98" spans="1:21" ht="15.75" customHeight="1" x14ac:dyDescent="0.25">
      <c r="A98" s="94" t="s">
        <v>12</v>
      </c>
      <c r="B98" s="93" t="s">
        <v>1</v>
      </c>
      <c r="C98" s="92" t="s">
        <v>72</v>
      </c>
      <c r="D98" s="44">
        <v>1384555000</v>
      </c>
      <c r="E98" s="31">
        <v>1651717000</v>
      </c>
      <c r="F98" s="30"/>
      <c r="G98" s="30">
        <v>210000000</v>
      </c>
      <c r="H98" s="30">
        <v>0</v>
      </c>
      <c r="I98" s="52">
        <v>1651717000</v>
      </c>
      <c r="J98" s="31">
        <v>1715554000</v>
      </c>
      <c r="K98" s="30"/>
      <c r="L98" s="30">
        <v>210000000</v>
      </c>
      <c r="M98" s="30">
        <v>0</v>
      </c>
      <c r="N98" s="52">
        <v>1715554000</v>
      </c>
      <c r="O98" s="31">
        <v>1715554000</v>
      </c>
      <c r="P98" s="30">
        <v>1715554000</v>
      </c>
      <c r="Q98" s="30">
        <v>284446000</v>
      </c>
      <c r="R98" s="267">
        <v>0</v>
      </c>
      <c r="S98" s="52">
        <v>1715554000</v>
      </c>
    </row>
    <row r="99" spans="1:21" ht="15.75" customHeight="1" x14ac:dyDescent="0.25">
      <c r="A99" s="94" t="s">
        <v>12</v>
      </c>
      <c r="B99" s="93" t="s">
        <v>71</v>
      </c>
      <c r="C99" s="92" t="s">
        <v>70</v>
      </c>
      <c r="D99" s="44">
        <v>51288000</v>
      </c>
      <c r="E99" s="31">
        <v>0</v>
      </c>
      <c r="F99" s="30"/>
      <c r="G99" s="60">
        <v>0</v>
      </c>
      <c r="H99" s="60">
        <v>0</v>
      </c>
      <c r="I99" s="52">
        <v>0</v>
      </c>
      <c r="J99" s="62">
        <v>0</v>
      </c>
      <c r="K99" s="60"/>
      <c r="L99" s="60">
        <v>0</v>
      </c>
      <c r="M99" s="60">
        <v>0</v>
      </c>
      <c r="N99" s="299">
        <v>0</v>
      </c>
      <c r="O99" s="62">
        <v>0</v>
      </c>
      <c r="P99" s="60">
        <v>0</v>
      </c>
      <c r="Q99" s="60">
        <v>0</v>
      </c>
      <c r="R99" s="286">
        <v>0</v>
      </c>
      <c r="S99" s="299">
        <v>0</v>
      </c>
    </row>
    <row r="100" spans="1:21" ht="15.75" customHeight="1" x14ac:dyDescent="0.25">
      <c r="A100" s="94" t="s">
        <v>12</v>
      </c>
      <c r="B100" s="93" t="s">
        <v>69</v>
      </c>
      <c r="C100" s="92" t="s">
        <v>68</v>
      </c>
      <c r="D100" s="44">
        <v>64348000</v>
      </c>
      <c r="E100" s="31">
        <v>0</v>
      </c>
      <c r="F100" s="30"/>
      <c r="G100" s="60">
        <v>0</v>
      </c>
      <c r="H100" s="60">
        <v>0</v>
      </c>
      <c r="I100" s="52">
        <v>0</v>
      </c>
      <c r="J100" s="62">
        <v>0</v>
      </c>
      <c r="K100" s="60"/>
      <c r="L100" s="60">
        <v>0</v>
      </c>
      <c r="M100" s="60">
        <v>0</v>
      </c>
      <c r="N100" s="299">
        <v>0</v>
      </c>
      <c r="O100" s="62">
        <v>0</v>
      </c>
      <c r="P100" s="60">
        <v>0</v>
      </c>
      <c r="Q100" s="60">
        <v>0</v>
      </c>
      <c r="R100" s="286">
        <v>0</v>
      </c>
      <c r="S100" s="299">
        <v>0</v>
      </c>
    </row>
    <row r="101" spans="1:21" ht="15.75" customHeight="1" x14ac:dyDescent="0.25">
      <c r="A101" s="94" t="s">
        <v>12</v>
      </c>
      <c r="B101" s="93" t="s">
        <v>67</v>
      </c>
      <c r="C101" s="92" t="s">
        <v>66</v>
      </c>
      <c r="D101" s="44">
        <v>69450000</v>
      </c>
      <c r="E101" s="31">
        <v>0</v>
      </c>
      <c r="F101" s="30"/>
      <c r="G101" s="60">
        <v>0</v>
      </c>
      <c r="H101" s="60">
        <v>0</v>
      </c>
      <c r="I101" s="52">
        <v>0</v>
      </c>
      <c r="J101" s="62">
        <v>0</v>
      </c>
      <c r="K101" s="60"/>
      <c r="L101" s="60">
        <v>0</v>
      </c>
      <c r="M101" s="60">
        <v>0</v>
      </c>
      <c r="N101" s="299">
        <v>0</v>
      </c>
      <c r="O101" s="62">
        <v>0</v>
      </c>
      <c r="P101" s="60">
        <v>0</v>
      </c>
      <c r="Q101" s="60">
        <v>0</v>
      </c>
      <c r="R101" s="286">
        <v>0</v>
      </c>
      <c r="S101" s="299">
        <v>0</v>
      </c>
    </row>
    <row r="102" spans="1:21" ht="15.75" customHeight="1" x14ac:dyDescent="0.25">
      <c r="A102" s="94" t="s">
        <v>12</v>
      </c>
      <c r="B102" s="93" t="s">
        <v>65</v>
      </c>
      <c r="C102" s="92" t="s">
        <v>64</v>
      </c>
      <c r="D102" s="44">
        <v>30065000</v>
      </c>
      <c r="E102" s="31">
        <v>0</v>
      </c>
      <c r="F102" s="30"/>
      <c r="G102" s="60">
        <v>0</v>
      </c>
      <c r="H102" s="60">
        <v>0</v>
      </c>
      <c r="I102" s="52">
        <v>0</v>
      </c>
      <c r="J102" s="62">
        <v>0</v>
      </c>
      <c r="K102" s="60"/>
      <c r="L102" s="60">
        <v>0</v>
      </c>
      <c r="M102" s="60">
        <v>0</v>
      </c>
      <c r="N102" s="299">
        <v>0</v>
      </c>
      <c r="O102" s="62">
        <v>0</v>
      </c>
      <c r="P102" s="60">
        <v>0</v>
      </c>
      <c r="Q102" s="60">
        <v>0</v>
      </c>
      <c r="R102" s="286">
        <v>0</v>
      </c>
      <c r="S102" s="299">
        <v>0</v>
      </c>
    </row>
    <row r="103" spans="1:21" ht="15.75" customHeight="1" x14ac:dyDescent="0.25">
      <c r="A103" s="94" t="s">
        <v>12</v>
      </c>
      <c r="B103" s="93" t="s">
        <v>63</v>
      </c>
      <c r="C103" s="92" t="s">
        <v>62</v>
      </c>
      <c r="D103" s="44">
        <v>24014000</v>
      </c>
      <c r="E103" s="31">
        <v>0</v>
      </c>
      <c r="F103" s="30"/>
      <c r="G103" s="60">
        <v>0</v>
      </c>
      <c r="H103" s="60">
        <v>0</v>
      </c>
      <c r="I103" s="52">
        <v>0</v>
      </c>
      <c r="J103" s="62">
        <v>0</v>
      </c>
      <c r="K103" s="60"/>
      <c r="L103" s="60">
        <v>0</v>
      </c>
      <c r="M103" s="60">
        <v>0</v>
      </c>
      <c r="N103" s="299">
        <v>0</v>
      </c>
      <c r="O103" s="62">
        <v>0</v>
      </c>
      <c r="P103" s="60">
        <v>0</v>
      </c>
      <c r="Q103" s="60">
        <v>0</v>
      </c>
      <c r="R103" s="286">
        <v>0</v>
      </c>
      <c r="S103" s="299">
        <v>0</v>
      </c>
    </row>
    <row r="104" spans="1:21" ht="15.75" customHeight="1" x14ac:dyDescent="0.25">
      <c r="A104" s="94" t="s">
        <v>12</v>
      </c>
      <c r="B104" s="93" t="s">
        <v>61</v>
      </c>
      <c r="C104" s="92" t="s">
        <v>60</v>
      </c>
      <c r="D104" s="44">
        <v>0</v>
      </c>
      <c r="E104" s="31">
        <v>0</v>
      </c>
      <c r="F104" s="30"/>
      <c r="G104" s="60">
        <v>0</v>
      </c>
      <c r="H104" s="60">
        <v>0</v>
      </c>
      <c r="I104" s="52">
        <v>0</v>
      </c>
      <c r="J104" s="62">
        <v>0</v>
      </c>
      <c r="K104" s="60"/>
      <c r="L104" s="60">
        <v>0</v>
      </c>
      <c r="M104" s="60">
        <v>0</v>
      </c>
      <c r="N104" s="299">
        <v>0</v>
      </c>
      <c r="O104" s="62">
        <v>0</v>
      </c>
      <c r="P104" s="60">
        <v>0</v>
      </c>
      <c r="Q104" s="60">
        <v>0</v>
      </c>
      <c r="R104" s="286">
        <v>0</v>
      </c>
      <c r="S104" s="299">
        <v>0</v>
      </c>
    </row>
    <row r="105" spans="1:21" ht="15.75" customHeight="1" x14ac:dyDescent="0.25">
      <c r="A105" s="94" t="s">
        <v>12</v>
      </c>
      <c r="B105" s="93" t="s">
        <v>59</v>
      </c>
      <c r="C105" s="92" t="s">
        <v>58</v>
      </c>
      <c r="D105" s="44">
        <v>39793000</v>
      </c>
      <c r="E105" s="31">
        <v>39793000</v>
      </c>
      <c r="F105" s="30"/>
      <c r="G105" s="30">
        <v>0</v>
      </c>
      <c r="H105" s="30">
        <v>0</v>
      </c>
      <c r="I105" s="52">
        <v>39793000</v>
      </c>
      <c r="J105" s="31">
        <v>60000000</v>
      </c>
      <c r="K105" s="30"/>
      <c r="L105" s="30">
        <v>0</v>
      </c>
      <c r="M105" s="30">
        <v>0</v>
      </c>
      <c r="N105" s="52">
        <v>60000000</v>
      </c>
      <c r="O105" s="31">
        <v>60000000</v>
      </c>
      <c r="P105" s="30">
        <v>60000000</v>
      </c>
      <c r="Q105" s="30">
        <v>0</v>
      </c>
      <c r="R105" s="267">
        <v>0</v>
      </c>
      <c r="S105" s="52">
        <v>60000000</v>
      </c>
    </row>
    <row r="106" spans="1:21" ht="15.75" customHeight="1" x14ac:dyDescent="0.25">
      <c r="A106" s="94" t="s">
        <v>12</v>
      </c>
      <c r="B106" s="93" t="s">
        <v>57</v>
      </c>
      <c r="C106" s="92" t="s">
        <v>56</v>
      </c>
      <c r="D106" s="44">
        <v>258210230</v>
      </c>
      <c r="E106" s="31">
        <v>0</v>
      </c>
      <c r="F106" s="30"/>
      <c r="G106" s="60">
        <v>0</v>
      </c>
      <c r="H106" s="60">
        <v>0</v>
      </c>
      <c r="I106" s="52">
        <v>0</v>
      </c>
      <c r="J106" s="62">
        <v>0</v>
      </c>
      <c r="K106" s="60"/>
      <c r="L106" s="60">
        <v>0</v>
      </c>
      <c r="M106" s="60">
        <v>0</v>
      </c>
      <c r="N106" s="299">
        <v>0</v>
      </c>
      <c r="O106" s="62">
        <v>0</v>
      </c>
      <c r="P106" s="60">
        <v>0</v>
      </c>
      <c r="Q106" s="60">
        <v>0</v>
      </c>
      <c r="R106" s="286">
        <v>0</v>
      </c>
      <c r="S106" s="299">
        <v>0</v>
      </c>
    </row>
    <row r="107" spans="1:21" ht="15.75" customHeight="1" x14ac:dyDescent="0.25">
      <c r="A107" s="94" t="s">
        <v>12</v>
      </c>
      <c r="B107" s="93" t="s">
        <v>55</v>
      </c>
      <c r="C107" s="92" t="s">
        <v>54</v>
      </c>
      <c r="D107" s="44">
        <v>1417065000</v>
      </c>
      <c r="E107" s="31">
        <v>1342976000</v>
      </c>
      <c r="F107" s="30"/>
      <c r="G107" s="30">
        <v>0</v>
      </c>
      <c r="H107" s="30">
        <v>0</v>
      </c>
      <c r="I107" s="52">
        <v>1342976000</v>
      </c>
      <c r="J107" s="31">
        <v>852016000</v>
      </c>
      <c r="K107" s="30"/>
      <c r="L107" s="30">
        <v>0</v>
      </c>
      <c r="M107" s="30">
        <v>0</v>
      </c>
      <c r="N107" s="52">
        <v>852016000</v>
      </c>
      <c r="O107" s="31">
        <v>852016000</v>
      </c>
      <c r="P107" s="39">
        <v>305871000</v>
      </c>
      <c r="Q107" s="30">
        <v>0</v>
      </c>
      <c r="R107" s="267">
        <v>0</v>
      </c>
      <c r="S107" s="52">
        <v>305871000</v>
      </c>
    </row>
    <row r="108" spans="1:21" ht="15.75" customHeight="1" x14ac:dyDescent="0.25">
      <c r="A108" s="94" t="s">
        <v>12</v>
      </c>
      <c r="B108" s="93"/>
      <c r="C108" s="92" t="s">
        <v>160</v>
      </c>
      <c r="D108" s="44">
        <v>0</v>
      </c>
      <c r="E108" s="31">
        <v>0</v>
      </c>
      <c r="F108" s="30"/>
      <c r="G108" s="30">
        <v>0</v>
      </c>
      <c r="H108" s="30">
        <v>0</v>
      </c>
      <c r="I108" s="52">
        <v>0</v>
      </c>
      <c r="J108" s="31">
        <v>0</v>
      </c>
      <c r="K108" s="30"/>
      <c r="L108" s="30">
        <v>0</v>
      </c>
      <c r="M108" s="30">
        <v>0</v>
      </c>
      <c r="N108" s="52">
        <v>0</v>
      </c>
      <c r="O108" s="31">
        <v>0</v>
      </c>
      <c r="P108" s="52">
        <v>0</v>
      </c>
      <c r="Q108" s="30">
        <v>0</v>
      </c>
      <c r="R108" s="267">
        <v>0</v>
      </c>
      <c r="S108" s="52">
        <v>546145000</v>
      </c>
    </row>
    <row r="109" spans="1:21" ht="15.75" customHeight="1" x14ac:dyDescent="0.25">
      <c r="A109" s="94" t="s">
        <v>12</v>
      </c>
      <c r="B109" s="93" t="s">
        <v>53</v>
      </c>
      <c r="C109" s="92" t="s">
        <v>52</v>
      </c>
      <c r="D109" s="44">
        <v>568428000</v>
      </c>
      <c r="E109" s="31">
        <v>703698000</v>
      </c>
      <c r="F109" s="30"/>
      <c r="G109" s="30">
        <v>0</v>
      </c>
      <c r="H109" s="30">
        <v>0</v>
      </c>
      <c r="I109" s="52">
        <v>703698000</v>
      </c>
      <c r="J109" s="31">
        <v>718747000</v>
      </c>
      <c r="K109" s="30"/>
      <c r="L109" s="30">
        <v>0</v>
      </c>
      <c r="M109" s="30">
        <v>0</v>
      </c>
      <c r="N109" s="52">
        <v>718747000</v>
      </c>
      <c r="O109" s="31">
        <v>718747000</v>
      </c>
      <c r="P109" s="39">
        <v>708668000</v>
      </c>
      <c r="Q109" s="30">
        <v>0</v>
      </c>
      <c r="R109" s="267">
        <v>0</v>
      </c>
      <c r="S109" s="52">
        <v>718747000</v>
      </c>
    </row>
    <row r="110" spans="1:21" ht="15.75" customHeight="1" x14ac:dyDescent="0.25">
      <c r="A110" s="94" t="s">
        <v>12</v>
      </c>
      <c r="B110" s="93" t="s">
        <v>1</v>
      </c>
      <c r="C110" s="92" t="s">
        <v>51</v>
      </c>
      <c r="D110" s="44">
        <v>0</v>
      </c>
      <c r="E110" s="31">
        <f>525029230+20000000</f>
        <v>545029230</v>
      </c>
      <c r="F110" s="30"/>
      <c r="G110" s="30">
        <v>0</v>
      </c>
      <c r="H110" s="30">
        <v>0</v>
      </c>
      <c r="I110" s="52">
        <f>525029230+20000000</f>
        <v>545029230</v>
      </c>
      <c r="J110" s="31">
        <f>790029230+20000000</f>
        <v>810029230</v>
      </c>
      <c r="K110" s="30"/>
      <c r="L110" s="30">
        <v>0</v>
      </c>
      <c r="M110" s="30">
        <v>0</v>
      </c>
      <c r="N110" s="52">
        <f>790029230+20000000</f>
        <v>810029230</v>
      </c>
      <c r="O110" s="31">
        <f>790029230+20000000</f>
        <v>810029230</v>
      </c>
      <c r="P110" s="39">
        <v>950000000</v>
      </c>
      <c r="Q110" s="30">
        <v>0</v>
      </c>
      <c r="R110" s="267">
        <v>0</v>
      </c>
      <c r="S110" s="52">
        <f>790029230+20000000</f>
        <v>810029230</v>
      </c>
    </row>
    <row r="111" spans="1:21" ht="15.75" customHeight="1" thickBot="1" x14ac:dyDescent="0.3">
      <c r="A111" s="91" t="s">
        <v>12</v>
      </c>
      <c r="B111" s="90"/>
      <c r="C111" s="89" t="s">
        <v>50</v>
      </c>
      <c r="D111" s="68">
        <v>0</v>
      </c>
      <c r="E111" s="31">
        <v>0</v>
      </c>
      <c r="F111" s="30"/>
      <c r="G111" s="30">
        <v>0</v>
      </c>
      <c r="H111" s="30">
        <v>0</v>
      </c>
      <c r="I111" s="52">
        <v>0</v>
      </c>
      <c r="J111" s="88">
        <v>0</v>
      </c>
      <c r="K111" s="87"/>
      <c r="L111" s="30">
        <v>0</v>
      </c>
      <c r="M111" s="30">
        <v>0</v>
      </c>
      <c r="N111" s="112">
        <v>0</v>
      </c>
      <c r="O111" s="31">
        <v>0</v>
      </c>
      <c r="P111" s="30">
        <v>0</v>
      </c>
      <c r="Q111" s="30">
        <v>150000000</v>
      </c>
      <c r="R111" s="267">
        <v>150000000</v>
      </c>
      <c r="S111" s="52">
        <v>150000000</v>
      </c>
      <c r="U111" s="229"/>
    </row>
    <row r="112" spans="1:21" ht="15.75" customHeight="1" thickBot="1" x14ac:dyDescent="0.3">
      <c r="A112" s="86" t="s">
        <v>159</v>
      </c>
      <c r="B112" s="85"/>
      <c r="C112" s="84" t="s">
        <v>20</v>
      </c>
      <c r="D112" s="71">
        <f>SUM(D97:D111)</f>
        <v>5072524230</v>
      </c>
      <c r="E112" s="71">
        <f>SUM(E97:E111)</f>
        <v>5448521230</v>
      </c>
      <c r="F112" s="71"/>
      <c r="G112" s="71">
        <f>SUM(G97:G111)</f>
        <v>210000000</v>
      </c>
      <c r="H112" s="71">
        <f>SUM(H97:H111)</f>
        <v>0</v>
      </c>
      <c r="I112" s="71">
        <f>SUM(I97:I111)</f>
        <v>5448521230</v>
      </c>
      <c r="J112" s="71">
        <f>SUM(J97:J111)</f>
        <v>5321654230</v>
      </c>
      <c r="K112" s="71"/>
      <c r="L112" s="71">
        <f t="shared" ref="L112:R112" si="16">SUM(L97:L111)</f>
        <v>210000000</v>
      </c>
      <c r="M112" s="71">
        <f t="shared" si="16"/>
        <v>0</v>
      </c>
      <c r="N112" s="71">
        <f>SUM(N97:N111)</f>
        <v>5321654230</v>
      </c>
      <c r="O112" s="71">
        <f t="shared" si="16"/>
        <v>5321654230</v>
      </c>
      <c r="P112" s="83">
        <f t="shared" si="16"/>
        <v>4905401000</v>
      </c>
      <c r="Q112" s="71">
        <f t="shared" si="16"/>
        <v>434446000</v>
      </c>
      <c r="R112" s="136">
        <f t="shared" si="16"/>
        <v>150000000</v>
      </c>
      <c r="S112" s="71">
        <f t="shared" ref="S112" si="17">SUM(S97:S111)</f>
        <v>5471654230</v>
      </c>
    </row>
    <row r="113" spans="1:19" ht="15.75" customHeight="1" x14ac:dyDescent="0.25">
      <c r="A113" s="82" t="s">
        <v>45</v>
      </c>
      <c r="B113" s="81" t="s">
        <v>49</v>
      </c>
      <c r="C113" s="80" t="s">
        <v>48</v>
      </c>
      <c r="D113" s="44">
        <v>51123000</v>
      </c>
      <c r="E113" s="31">
        <v>0</v>
      </c>
      <c r="F113" s="30"/>
      <c r="G113" s="60">
        <v>0</v>
      </c>
      <c r="H113" s="60">
        <v>0</v>
      </c>
      <c r="I113" s="52">
        <v>0</v>
      </c>
      <c r="J113" s="62">
        <v>0</v>
      </c>
      <c r="K113" s="60"/>
      <c r="L113" s="60">
        <v>0</v>
      </c>
      <c r="M113" s="60">
        <v>0</v>
      </c>
      <c r="N113" s="299">
        <v>0</v>
      </c>
      <c r="O113" s="62">
        <v>0</v>
      </c>
      <c r="P113" s="60"/>
      <c r="Q113" s="60">
        <v>0</v>
      </c>
      <c r="R113" s="286">
        <v>0</v>
      </c>
      <c r="S113" s="299">
        <v>0</v>
      </c>
    </row>
    <row r="114" spans="1:19" ht="15.75" customHeight="1" thickBot="1" x14ac:dyDescent="0.3">
      <c r="A114" s="43" t="s">
        <v>45</v>
      </c>
      <c r="B114" s="54" t="s">
        <v>47</v>
      </c>
      <c r="C114" s="79" t="s">
        <v>46</v>
      </c>
      <c r="D114" s="44">
        <v>373877000</v>
      </c>
      <c r="E114" s="31">
        <v>425000000</v>
      </c>
      <c r="F114" s="30"/>
      <c r="G114" s="30">
        <v>0</v>
      </c>
      <c r="H114" s="30">
        <v>0</v>
      </c>
      <c r="I114" s="52">
        <v>425000000</v>
      </c>
      <c r="J114" s="31">
        <v>425000000</v>
      </c>
      <c r="K114" s="30"/>
      <c r="L114" s="30">
        <v>0</v>
      </c>
      <c r="M114" s="30">
        <v>0</v>
      </c>
      <c r="N114" s="52">
        <v>425000000</v>
      </c>
      <c r="O114" s="31">
        <v>425000000</v>
      </c>
      <c r="P114" s="30"/>
      <c r="Q114" s="30">
        <v>0</v>
      </c>
      <c r="R114" s="267">
        <v>0</v>
      </c>
      <c r="S114" s="52">
        <v>425000000</v>
      </c>
    </row>
    <row r="115" spans="1:19" ht="15.75" customHeight="1" thickBot="1" x14ac:dyDescent="0.3">
      <c r="A115" s="78" t="s">
        <v>45</v>
      </c>
      <c r="B115" s="73"/>
      <c r="C115" s="72" t="s">
        <v>20</v>
      </c>
      <c r="D115" s="71">
        <f>SUM(D113:D114)</f>
        <v>425000000</v>
      </c>
      <c r="E115" s="71">
        <f>SUM(E113:E114)</f>
        <v>425000000</v>
      </c>
      <c r="F115" s="71"/>
      <c r="G115" s="71">
        <f>SUM(G113:G114)</f>
        <v>0</v>
      </c>
      <c r="H115" s="71">
        <f>SUM(H113:H114)</f>
        <v>0</v>
      </c>
      <c r="I115" s="71">
        <f>SUM(I113:I114)</f>
        <v>425000000</v>
      </c>
      <c r="J115" s="71">
        <f>SUM(J113:J114)</f>
        <v>425000000</v>
      </c>
      <c r="K115" s="71"/>
      <c r="L115" s="71">
        <f>SUM(L113:L114)</f>
        <v>0</v>
      </c>
      <c r="M115" s="71">
        <f>SUM(M113:M114)</f>
        <v>0</v>
      </c>
      <c r="N115" s="71">
        <f>SUM(N113:N114)</f>
        <v>425000000</v>
      </c>
      <c r="O115" s="71">
        <f>SUM(O113:O114)</f>
        <v>425000000</v>
      </c>
      <c r="P115" s="71"/>
      <c r="Q115" s="71">
        <f>SUM(Q113:Q114)</f>
        <v>0</v>
      </c>
      <c r="R115" s="136">
        <f>SUM(R113:R114)</f>
        <v>0</v>
      </c>
      <c r="S115" s="71">
        <f>SUM(S113:S114)</f>
        <v>425000000</v>
      </c>
    </row>
    <row r="116" spans="1:19" ht="15.75" customHeight="1" thickBot="1" x14ac:dyDescent="0.3">
      <c r="A116" s="43" t="s">
        <v>13</v>
      </c>
      <c r="B116" s="54" t="s">
        <v>44</v>
      </c>
      <c r="C116" s="79" t="s">
        <v>43</v>
      </c>
      <c r="D116" s="44">
        <v>900000000</v>
      </c>
      <c r="E116" s="31">
        <v>900000000</v>
      </c>
      <c r="F116" s="30"/>
      <c r="G116" s="30">
        <v>0</v>
      </c>
      <c r="H116" s="30">
        <v>0</v>
      </c>
      <c r="I116" s="52">
        <v>900000000</v>
      </c>
      <c r="J116" s="31">
        <v>1050000000</v>
      </c>
      <c r="K116" s="30"/>
      <c r="L116" s="30">
        <v>0</v>
      </c>
      <c r="M116" s="30">
        <v>0</v>
      </c>
      <c r="N116" s="52">
        <v>1050000000</v>
      </c>
      <c r="O116" s="31">
        <v>1050000000</v>
      </c>
      <c r="P116" s="30"/>
      <c r="Q116" s="30">
        <v>0</v>
      </c>
      <c r="R116" s="267">
        <v>0</v>
      </c>
      <c r="S116" s="52">
        <v>1050000000</v>
      </c>
    </row>
    <row r="117" spans="1:19" ht="15.75" customHeight="1" thickBot="1" x14ac:dyDescent="0.3">
      <c r="A117" s="78" t="s">
        <v>13</v>
      </c>
      <c r="B117" s="73"/>
      <c r="C117" s="72" t="s">
        <v>20</v>
      </c>
      <c r="D117" s="71">
        <f>SUM(D116:D116)</f>
        <v>900000000</v>
      </c>
      <c r="E117" s="71">
        <f>SUM(E116:E116)</f>
        <v>900000000</v>
      </c>
      <c r="F117" s="71"/>
      <c r="G117" s="71">
        <f>SUM(G116:G116)</f>
        <v>0</v>
      </c>
      <c r="H117" s="71">
        <f>SUM(H116:H116)</f>
        <v>0</v>
      </c>
      <c r="I117" s="71">
        <f>SUM(I116:I116)</f>
        <v>900000000</v>
      </c>
      <c r="J117" s="71">
        <f>SUM(J116:J116)</f>
        <v>1050000000</v>
      </c>
      <c r="K117" s="71"/>
      <c r="L117" s="71">
        <f>SUM(L116:L116)</f>
        <v>0</v>
      </c>
      <c r="M117" s="71">
        <f>SUM(M116:M116)</f>
        <v>0</v>
      </c>
      <c r="N117" s="71">
        <f>SUM(N116:N116)</f>
        <v>1050000000</v>
      </c>
      <c r="O117" s="71">
        <f>SUM(O116:O116)</f>
        <v>1050000000</v>
      </c>
      <c r="P117" s="71"/>
      <c r="Q117" s="71">
        <f>SUM(Q116:Q116)</f>
        <v>0</v>
      </c>
      <c r="R117" s="136">
        <f>SUM(R116:R116)</f>
        <v>0</v>
      </c>
      <c r="S117" s="71">
        <f>SUM(S116:S116)</f>
        <v>1050000000</v>
      </c>
    </row>
    <row r="118" spans="1:19" ht="15.75" thickBot="1" x14ac:dyDescent="0.3">
      <c r="A118" s="77" t="s">
        <v>14</v>
      </c>
      <c r="B118" s="76"/>
      <c r="C118" s="75"/>
      <c r="D118" s="44">
        <v>0</v>
      </c>
      <c r="E118" s="62">
        <v>0</v>
      </c>
      <c r="F118" s="60"/>
      <c r="G118" s="60">
        <v>0</v>
      </c>
      <c r="H118" s="60">
        <v>0</v>
      </c>
      <c r="I118" s="299">
        <v>0</v>
      </c>
      <c r="J118" s="62">
        <v>0</v>
      </c>
      <c r="K118" s="60"/>
      <c r="L118" s="60">
        <v>0</v>
      </c>
      <c r="M118" s="60">
        <v>0</v>
      </c>
      <c r="N118" s="299">
        <v>0</v>
      </c>
      <c r="O118" s="62">
        <v>0</v>
      </c>
      <c r="P118" s="60"/>
      <c r="Q118" s="60">
        <v>0</v>
      </c>
      <c r="R118" s="286">
        <v>0</v>
      </c>
      <c r="S118" s="299">
        <v>0</v>
      </c>
    </row>
    <row r="119" spans="1:19" ht="15.75" customHeight="1" thickBot="1" x14ac:dyDescent="0.3">
      <c r="A119" s="74" t="s">
        <v>14</v>
      </c>
      <c r="B119" s="73"/>
      <c r="C119" s="72" t="s">
        <v>20</v>
      </c>
      <c r="D119" s="71">
        <f>SUM(D118:D118)</f>
        <v>0</v>
      </c>
      <c r="E119" s="71">
        <f>SUM(E118:E118)</f>
        <v>0</v>
      </c>
      <c r="F119" s="71"/>
      <c r="G119" s="71">
        <f>SUM(G118:G118)</f>
        <v>0</v>
      </c>
      <c r="H119" s="71">
        <f>SUM(H118:H118)</f>
        <v>0</v>
      </c>
      <c r="I119" s="71">
        <f>SUM(I118:I118)</f>
        <v>0</v>
      </c>
      <c r="J119" s="71">
        <f>SUM(J118:J118)</f>
        <v>0</v>
      </c>
      <c r="K119" s="71"/>
      <c r="L119" s="71">
        <f>SUM(L118:L118)</f>
        <v>0</v>
      </c>
      <c r="M119" s="71">
        <f>SUM(M118:M118)</f>
        <v>0</v>
      </c>
      <c r="N119" s="71">
        <f>SUM(N118:N118)</f>
        <v>0</v>
      </c>
      <c r="O119" s="71">
        <f>SUM(O118:O118)</f>
        <v>0</v>
      </c>
      <c r="P119" s="71"/>
      <c r="Q119" s="71">
        <f>SUM(Q118:Q118)</f>
        <v>0</v>
      </c>
      <c r="R119" s="136">
        <f>SUM(R118:R118)</f>
        <v>0</v>
      </c>
      <c r="S119" s="71">
        <f>SUM(S118:S118)</f>
        <v>0</v>
      </c>
    </row>
    <row r="120" spans="1:19" ht="15.75" customHeight="1" x14ac:dyDescent="0.25">
      <c r="A120" s="70" t="s">
        <v>21</v>
      </c>
      <c r="B120" s="69" t="s">
        <v>42</v>
      </c>
      <c r="C120" s="36" t="s">
        <v>41</v>
      </c>
      <c r="D120" s="68">
        <v>593639157</v>
      </c>
      <c r="E120" s="67">
        <v>2764300</v>
      </c>
      <c r="F120" s="66">
        <v>3000000</v>
      </c>
      <c r="G120" s="63">
        <v>0</v>
      </c>
      <c r="H120" s="63">
        <v>0</v>
      </c>
      <c r="I120" s="301">
        <v>3000000</v>
      </c>
      <c r="J120" s="65">
        <v>0</v>
      </c>
      <c r="K120" s="64">
        <v>0</v>
      </c>
      <c r="L120" s="63">
        <v>0</v>
      </c>
      <c r="M120" s="63">
        <v>0</v>
      </c>
      <c r="N120" s="297">
        <v>0</v>
      </c>
      <c r="O120" s="65">
        <v>0</v>
      </c>
      <c r="P120" s="64">
        <v>0</v>
      </c>
      <c r="Q120" s="63"/>
      <c r="R120" s="281"/>
      <c r="S120" s="297">
        <v>0</v>
      </c>
    </row>
    <row r="121" spans="1:19" ht="15.75" customHeight="1" x14ac:dyDescent="0.25">
      <c r="A121" s="43" t="s">
        <v>21</v>
      </c>
      <c r="B121" s="54" t="s">
        <v>40</v>
      </c>
      <c r="C121" s="27" t="s">
        <v>39</v>
      </c>
      <c r="D121" s="44">
        <v>65373374</v>
      </c>
      <c r="E121" s="40">
        <v>0</v>
      </c>
      <c r="F121" s="30">
        <v>0</v>
      </c>
      <c r="G121" s="60">
        <v>0</v>
      </c>
      <c r="H121" s="60">
        <v>0</v>
      </c>
      <c r="I121" s="302">
        <v>0</v>
      </c>
      <c r="J121" s="62">
        <v>0</v>
      </c>
      <c r="K121" s="61">
        <v>0</v>
      </c>
      <c r="L121" s="60">
        <v>0</v>
      </c>
      <c r="M121" s="60">
        <v>0</v>
      </c>
      <c r="N121" s="299">
        <v>0</v>
      </c>
      <c r="O121" s="62">
        <v>0</v>
      </c>
      <c r="P121" s="61">
        <v>0</v>
      </c>
      <c r="Q121" s="60"/>
      <c r="R121" s="286"/>
      <c r="S121" s="299">
        <v>0</v>
      </c>
    </row>
    <row r="122" spans="1:19" ht="15.75" customHeight="1" x14ac:dyDescent="0.25">
      <c r="A122" s="43" t="s">
        <v>21</v>
      </c>
      <c r="B122" s="54" t="s">
        <v>38</v>
      </c>
      <c r="C122" s="27" t="s">
        <v>37</v>
      </c>
      <c r="D122" s="44">
        <v>930005752</v>
      </c>
      <c r="E122" s="40">
        <v>823368063</v>
      </c>
      <c r="F122" s="39">
        <v>930000000</v>
      </c>
      <c r="G122" s="30">
        <v>0</v>
      </c>
      <c r="H122" s="30">
        <v>0</v>
      </c>
      <c r="I122" s="302">
        <v>930000000</v>
      </c>
      <c r="J122" s="31">
        <v>725072887</v>
      </c>
      <c r="K122" s="53">
        <v>722000000</v>
      </c>
      <c r="L122" s="30">
        <v>0</v>
      </c>
      <c r="M122" s="30">
        <v>0</v>
      </c>
      <c r="N122" s="52">
        <v>722000000</v>
      </c>
      <c r="O122" s="31">
        <v>725072887</v>
      </c>
      <c r="P122" s="53">
        <v>0</v>
      </c>
      <c r="Q122" s="30"/>
      <c r="R122" s="267"/>
      <c r="S122" s="52">
        <v>0</v>
      </c>
    </row>
    <row r="123" spans="1:19" ht="15.75" customHeight="1" x14ac:dyDescent="0.25">
      <c r="A123" s="43" t="s">
        <v>21</v>
      </c>
      <c r="B123" s="54" t="s">
        <v>36</v>
      </c>
      <c r="C123" s="27" t="s">
        <v>154</v>
      </c>
      <c r="D123" s="44">
        <f>970248560+6400000+250000000-25000000</f>
        <v>1201648560</v>
      </c>
      <c r="E123" s="40">
        <f>1261437006+6400000+110000000+250000000</f>
        <v>1627837006</v>
      </c>
      <c r="F123" s="39">
        <v>1831511000</v>
      </c>
      <c r="G123" s="52">
        <v>0</v>
      </c>
      <c r="H123" s="52">
        <v>0</v>
      </c>
      <c r="I123" s="302">
        <v>1691511000</v>
      </c>
      <c r="J123" s="31">
        <f>1173420000+6400000+35059000+250000000</f>
        <v>1464879000</v>
      </c>
      <c r="K123" s="53">
        <v>1660570000</v>
      </c>
      <c r="L123" s="52">
        <v>0</v>
      </c>
      <c r="M123" s="52">
        <v>0</v>
      </c>
      <c r="N123" s="52">
        <v>1660570000</v>
      </c>
      <c r="O123" s="31">
        <f>1173420000+6400000+35059000+250000000</f>
        <v>1464879000</v>
      </c>
      <c r="P123" s="53">
        <v>1461070000</v>
      </c>
      <c r="Q123" s="52"/>
      <c r="R123" s="275"/>
      <c r="S123" s="52">
        <v>1461070000</v>
      </c>
    </row>
    <row r="124" spans="1:19" ht="15.75" customHeight="1" x14ac:dyDescent="0.25">
      <c r="A124" s="47" t="s">
        <v>21</v>
      </c>
      <c r="B124" s="46"/>
      <c r="C124" s="59" t="s">
        <v>35</v>
      </c>
      <c r="D124" s="44">
        <v>0</v>
      </c>
      <c r="E124" s="40">
        <v>40000000</v>
      </c>
      <c r="F124" s="39">
        <v>100000000</v>
      </c>
      <c r="G124" s="52">
        <v>100000000</v>
      </c>
      <c r="H124" s="52">
        <v>100000000</v>
      </c>
      <c r="I124" s="302">
        <v>200000000</v>
      </c>
      <c r="J124" s="31">
        <v>0</v>
      </c>
      <c r="K124" s="53">
        <v>260000000</v>
      </c>
      <c r="L124" s="52">
        <v>100000000</v>
      </c>
      <c r="M124" s="52">
        <v>100000000</v>
      </c>
      <c r="N124" s="52">
        <v>360000000</v>
      </c>
      <c r="O124" s="31">
        <v>0</v>
      </c>
      <c r="P124" s="53">
        <v>580000000</v>
      </c>
      <c r="Q124" s="52">
        <v>100000000</v>
      </c>
      <c r="R124" s="275">
        <v>100000000</v>
      </c>
      <c r="S124" s="52">
        <v>680000000</v>
      </c>
    </row>
    <row r="125" spans="1:19" ht="15.75" customHeight="1" x14ac:dyDescent="0.25">
      <c r="A125" s="47" t="s">
        <v>21</v>
      </c>
      <c r="B125" s="46" t="s">
        <v>34</v>
      </c>
      <c r="C125" s="27" t="s">
        <v>155</v>
      </c>
      <c r="D125" s="44">
        <v>0</v>
      </c>
      <c r="E125" s="40">
        <v>270000000</v>
      </c>
      <c r="F125" s="30">
        <v>270000000</v>
      </c>
      <c r="G125" s="30">
        <v>0</v>
      </c>
      <c r="H125" s="30">
        <v>0</v>
      </c>
      <c r="I125" s="302">
        <v>270000000</v>
      </c>
      <c r="J125" s="31">
        <v>357500000</v>
      </c>
      <c r="K125" s="21">
        <v>357000000</v>
      </c>
      <c r="L125" s="30">
        <v>0</v>
      </c>
      <c r="M125" s="30">
        <v>0</v>
      </c>
      <c r="N125" s="52">
        <v>357000000</v>
      </c>
      <c r="O125" s="31">
        <v>357500000</v>
      </c>
      <c r="P125" s="53">
        <v>472500000</v>
      </c>
      <c r="Q125" s="30"/>
      <c r="R125" s="275"/>
      <c r="S125" s="52">
        <v>472500000</v>
      </c>
    </row>
    <row r="126" spans="1:19" ht="15.75" customHeight="1" x14ac:dyDescent="0.25">
      <c r="A126" s="47" t="s">
        <v>21</v>
      </c>
      <c r="B126" s="46"/>
      <c r="C126" s="45" t="s">
        <v>33</v>
      </c>
      <c r="D126" s="44">
        <v>0</v>
      </c>
      <c r="E126" s="40">
        <v>440000000</v>
      </c>
      <c r="F126" s="39">
        <v>100000000</v>
      </c>
      <c r="G126" s="30">
        <v>0</v>
      </c>
      <c r="H126" s="30">
        <v>0</v>
      </c>
      <c r="I126" s="302">
        <v>100000000</v>
      </c>
      <c r="J126" s="31">
        <v>672288113</v>
      </c>
      <c r="K126" s="53">
        <v>230000000</v>
      </c>
      <c r="L126" s="30">
        <v>0</v>
      </c>
      <c r="M126" s="30">
        <v>0</v>
      </c>
      <c r="N126" s="52">
        <v>230000000</v>
      </c>
      <c r="O126" s="31">
        <v>672288113</v>
      </c>
      <c r="P126" s="53">
        <v>440000000</v>
      </c>
      <c r="Q126" s="30"/>
      <c r="R126" s="275"/>
      <c r="S126" s="52">
        <v>700000000</v>
      </c>
    </row>
    <row r="127" spans="1:19" ht="15.75" customHeight="1" x14ac:dyDescent="0.25">
      <c r="A127" s="29" t="s">
        <v>21</v>
      </c>
      <c r="B127" s="28"/>
      <c r="C127" s="27" t="s">
        <v>32</v>
      </c>
      <c r="D127" s="41">
        <v>0</v>
      </c>
      <c r="E127" s="25">
        <v>0</v>
      </c>
      <c r="F127" s="51">
        <v>0</v>
      </c>
      <c r="G127" s="51">
        <v>0</v>
      </c>
      <c r="H127" s="51">
        <v>0</v>
      </c>
      <c r="I127" s="303">
        <v>0</v>
      </c>
      <c r="J127" s="31">
        <v>0</v>
      </c>
      <c r="K127" s="21">
        <v>0</v>
      </c>
      <c r="L127" s="30">
        <v>74441000</v>
      </c>
      <c r="M127" s="30">
        <v>0</v>
      </c>
      <c r="N127" s="52">
        <v>0</v>
      </c>
      <c r="O127" s="31">
        <v>0</v>
      </c>
      <c r="P127" s="53">
        <v>260000000</v>
      </c>
      <c r="Q127" s="30">
        <v>74441000</v>
      </c>
      <c r="R127" s="275">
        <v>0</v>
      </c>
      <c r="S127" s="52">
        <v>0</v>
      </c>
    </row>
    <row r="128" spans="1:19" ht="15.75" customHeight="1" x14ac:dyDescent="0.25">
      <c r="A128" s="47" t="s">
        <v>21</v>
      </c>
      <c r="B128" s="46" t="s">
        <v>31</v>
      </c>
      <c r="C128" s="45" t="s">
        <v>30</v>
      </c>
      <c r="D128" s="44">
        <v>300000000</v>
      </c>
      <c r="E128" s="40">
        <v>310000000</v>
      </c>
      <c r="F128" s="30">
        <v>310000000</v>
      </c>
      <c r="G128" s="30">
        <v>0</v>
      </c>
      <c r="H128" s="30">
        <v>0</v>
      </c>
      <c r="I128" s="302">
        <v>310000000</v>
      </c>
      <c r="J128" s="31">
        <v>357500000</v>
      </c>
      <c r="K128" s="21">
        <v>357500000</v>
      </c>
      <c r="L128" s="30">
        <v>0</v>
      </c>
      <c r="M128" s="30">
        <v>0</v>
      </c>
      <c r="N128" s="52">
        <v>357500000</v>
      </c>
      <c r="O128" s="31">
        <v>357500000</v>
      </c>
      <c r="P128" s="21">
        <v>357500000</v>
      </c>
      <c r="Q128" s="30"/>
      <c r="R128" s="275"/>
      <c r="S128" s="52">
        <v>357500000</v>
      </c>
    </row>
    <row r="129" spans="1:21" ht="15.75" customHeight="1" x14ac:dyDescent="0.25">
      <c r="A129" s="47" t="s">
        <v>21</v>
      </c>
      <c r="B129" s="46" t="s">
        <v>29</v>
      </c>
      <c r="C129" s="45" t="s">
        <v>28</v>
      </c>
      <c r="D129" s="44">
        <v>109374824</v>
      </c>
      <c r="E129" s="40">
        <v>255536619</v>
      </c>
      <c r="F129" s="39">
        <v>231000000</v>
      </c>
      <c r="G129" s="30">
        <v>0</v>
      </c>
      <c r="H129" s="30">
        <v>0</v>
      </c>
      <c r="I129" s="302">
        <v>231000000</v>
      </c>
      <c r="J129" s="31">
        <v>130000000</v>
      </c>
      <c r="K129" s="53">
        <v>125000000</v>
      </c>
      <c r="L129" s="30">
        <v>0</v>
      </c>
      <c r="M129" s="30">
        <v>0</v>
      </c>
      <c r="N129" s="52">
        <v>125000000</v>
      </c>
      <c r="O129" s="31">
        <v>130000000</v>
      </c>
      <c r="P129" s="53">
        <v>0</v>
      </c>
      <c r="Q129" s="30"/>
      <c r="R129" s="275"/>
      <c r="S129" s="52">
        <v>0</v>
      </c>
    </row>
    <row r="130" spans="1:21" ht="15.75" customHeight="1" x14ac:dyDescent="0.25">
      <c r="A130" s="29" t="s">
        <v>21</v>
      </c>
      <c r="B130" s="28"/>
      <c r="C130" s="27" t="s">
        <v>27</v>
      </c>
      <c r="D130" s="41">
        <v>0</v>
      </c>
      <c r="E130" s="25">
        <v>0</v>
      </c>
      <c r="F130" s="51">
        <v>0</v>
      </c>
      <c r="G130" s="51">
        <v>0</v>
      </c>
      <c r="H130" s="51">
        <v>0</v>
      </c>
      <c r="I130" s="303">
        <v>0</v>
      </c>
      <c r="J130" s="57">
        <v>0</v>
      </c>
      <c r="K130" s="58">
        <v>0</v>
      </c>
      <c r="L130" s="55">
        <v>75000000</v>
      </c>
      <c r="M130" s="52">
        <v>75000000</v>
      </c>
      <c r="N130" s="55">
        <v>75000000</v>
      </c>
      <c r="O130" s="57">
        <v>0</v>
      </c>
      <c r="P130" s="56">
        <v>125000000</v>
      </c>
      <c r="Q130" s="55">
        <v>75000000</v>
      </c>
      <c r="R130" s="287">
        <v>75000000</v>
      </c>
      <c r="S130" s="55">
        <v>200000000</v>
      </c>
    </row>
    <row r="131" spans="1:21" ht="15.75" customHeight="1" x14ac:dyDescent="0.25">
      <c r="A131" s="43" t="s">
        <v>21</v>
      </c>
      <c r="B131" s="54" t="s">
        <v>26</v>
      </c>
      <c r="C131" s="27" t="s">
        <v>25</v>
      </c>
      <c r="D131" s="44">
        <v>155469333</v>
      </c>
      <c r="E131" s="40">
        <v>141185780</v>
      </c>
      <c r="F131" s="39">
        <v>245000000</v>
      </c>
      <c r="G131" s="52">
        <v>0</v>
      </c>
      <c r="H131" s="52">
        <v>0</v>
      </c>
      <c r="I131" s="302">
        <v>245000000</v>
      </c>
      <c r="J131" s="31">
        <v>88830000</v>
      </c>
      <c r="K131" s="53">
        <v>84000000</v>
      </c>
      <c r="L131" s="52">
        <v>0</v>
      </c>
      <c r="M131" s="52">
        <v>0</v>
      </c>
      <c r="N131" s="52">
        <v>84000000</v>
      </c>
      <c r="O131" s="31">
        <v>88830000</v>
      </c>
      <c r="P131" s="53">
        <v>0</v>
      </c>
      <c r="Q131" s="52"/>
      <c r="R131" s="275"/>
      <c r="S131" s="52">
        <v>0</v>
      </c>
    </row>
    <row r="132" spans="1:21" ht="15.75" customHeight="1" x14ac:dyDescent="0.25">
      <c r="A132" s="29" t="s">
        <v>21</v>
      </c>
      <c r="B132" s="28"/>
      <c r="C132" s="27" t="s">
        <v>24</v>
      </c>
      <c r="D132" s="41">
        <v>0</v>
      </c>
      <c r="E132" s="25">
        <v>0</v>
      </c>
      <c r="F132" s="51">
        <v>0</v>
      </c>
      <c r="G132" s="51">
        <v>0</v>
      </c>
      <c r="H132" s="51">
        <v>0</v>
      </c>
      <c r="I132" s="303">
        <v>0</v>
      </c>
      <c r="J132" s="49">
        <v>0</v>
      </c>
      <c r="K132" s="50">
        <v>0</v>
      </c>
      <c r="L132" s="32">
        <v>75000000</v>
      </c>
      <c r="M132" s="52">
        <v>75000000</v>
      </c>
      <c r="N132" s="32">
        <v>75000000</v>
      </c>
      <c r="O132" s="49">
        <v>0</v>
      </c>
      <c r="P132" s="48">
        <v>100000000</v>
      </c>
      <c r="Q132" s="32">
        <v>75000000</v>
      </c>
      <c r="R132" s="288">
        <v>75000000</v>
      </c>
      <c r="S132" s="32">
        <v>175000000</v>
      </c>
    </row>
    <row r="133" spans="1:21" ht="15.75" customHeight="1" x14ac:dyDescent="0.25">
      <c r="A133" s="47" t="s">
        <v>21</v>
      </c>
      <c r="B133" s="46" t="s">
        <v>23</v>
      </c>
      <c r="C133" s="45" t="s">
        <v>22</v>
      </c>
      <c r="D133" s="44">
        <v>30000000</v>
      </c>
      <c r="E133" s="40">
        <v>89819232</v>
      </c>
      <c r="F133" s="39">
        <v>120000000</v>
      </c>
      <c r="G133" s="30">
        <v>0</v>
      </c>
      <c r="H133" s="30">
        <v>0</v>
      </c>
      <c r="I133" s="302">
        <v>120000000</v>
      </c>
      <c r="J133" s="31">
        <v>120000000</v>
      </c>
      <c r="K133" s="21">
        <v>120000000</v>
      </c>
      <c r="L133" s="30">
        <v>0</v>
      </c>
      <c r="M133" s="30">
        <v>0</v>
      </c>
      <c r="N133" s="52">
        <v>120000000</v>
      </c>
      <c r="O133" s="31">
        <v>120000000</v>
      </c>
      <c r="P133" s="21">
        <v>120000000</v>
      </c>
      <c r="Q133" s="30"/>
      <c r="R133" s="267"/>
      <c r="S133" s="52">
        <v>120000000</v>
      </c>
    </row>
    <row r="134" spans="1:21" ht="15.75" customHeight="1" x14ac:dyDescent="0.25">
      <c r="A134" s="43" t="s">
        <v>21</v>
      </c>
      <c r="B134" s="42"/>
      <c r="C134" s="260" t="s">
        <v>143</v>
      </c>
      <c r="D134" s="41">
        <v>0</v>
      </c>
      <c r="E134" s="40">
        <v>50000000</v>
      </c>
      <c r="F134" s="39">
        <v>0</v>
      </c>
      <c r="G134" s="30">
        <v>0</v>
      </c>
      <c r="H134" s="52">
        <v>0</v>
      </c>
      <c r="I134" s="302">
        <v>50000000</v>
      </c>
      <c r="J134" s="31">
        <v>0</v>
      </c>
      <c r="K134" s="21">
        <v>0</v>
      </c>
      <c r="L134" s="30">
        <v>0</v>
      </c>
      <c r="M134" s="30">
        <v>0</v>
      </c>
      <c r="N134" s="52">
        <v>0</v>
      </c>
      <c r="O134" s="31">
        <v>0</v>
      </c>
      <c r="P134" s="21">
        <v>0</v>
      </c>
      <c r="Q134" s="30"/>
      <c r="R134" s="267"/>
      <c r="S134" s="52">
        <v>0</v>
      </c>
    </row>
    <row r="135" spans="1:21" ht="15.75" customHeight="1" x14ac:dyDescent="0.25">
      <c r="A135" s="38" t="s">
        <v>21</v>
      </c>
      <c r="B135" s="37"/>
      <c r="C135" s="36" t="s">
        <v>144</v>
      </c>
      <c r="D135" s="35">
        <v>0</v>
      </c>
      <c r="E135" s="34">
        <v>20000000</v>
      </c>
      <c r="F135" s="33">
        <v>0</v>
      </c>
      <c r="G135" s="32">
        <v>0</v>
      </c>
      <c r="H135" s="32">
        <v>0</v>
      </c>
      <c r="I135" s="50">
        <v>20000000</v>
      </c>
      <c r="J135" s="31">
        <v>0</v>
      </c>
      <c r="K135" s="21">
        <v>0</v>
      </c>
      <c r="L135" s="30">
        <v>0</v>
      </c>
      <c r="M135" s="30">
        <v>0</v>
      </c>
      <c r="N135" s="52">
        <v>0</v>
      </c>
      <c r="O135" s="31">
        <v>0</v>
      </c>
      <c r="P135" s="21">
        <v>0</v>
      </c>
      <c r="Q135" s="30"/>
      <c r="R135" s="267"/>
      <c r="S135" s="52">
        <v>0</v>
      </c>
    </row>
    <row r="136" spans="1:21" ht="15.75" customHeight="1" thickBot="1" x14ac:dyDescent="0.3">
      <c r="A136" s="29" t="s">
        <v>21</v>
      </c>
      <c r="B136" s="28"/>
      <c r="C136" s="27" t="s">
        <v>145</v>
      </c>
      <c r="D136" s="26">
        <v>0</v>
      </c>
      <c r="E136" s="25">
        <v>70000000</v>
      </c>
      <c r="F136" s="24">
        <v>0</v>
      </c>
      <c r="G136" s="23">
        <v>0</v>
      </c>
      <c r="H136" s="23">
        <v>0</v>
      </c>
      <c r="I136" s="303">
        <v>70000000</v>
      </c>
      <c r="J136" s="22">
        <v>0</v>
      </c>
      <c r="K136" s="21">
        <v>0</v>
      </c>
      <c r="L136" s="20">
        <v>0</v>
      </c>
      <c r="M136" s="20">
        <v>0</v>
      </c>
      <c r="N136" s="300">
        <v>0</v>
      </c>
      <c r="O136" s="22">
        <v>0</v>
      </c>
      <c r="P136" s="21">
        <v>0</v>
      </c>
      <c r="Q136" s="20"/>
      <c r="R136" s="268"/>
      <c r="S136" s="300">
        <v>0</v>
      </c>
    </row>
    <row r="137" spans="1:21" ht="15.75" customHeight="1" thickBot="1" x14ac:dyDescent="0.3">
      <c r="A137" s="19" t="s">
        <v>21</v>
      </c>
      <c r="B137" s="18"/>
      <c r="C137" s="17" t="s">
        <v>20</v>
      </c>
      <c r="D137" s="16">
        <f t="shared" ref="D137:R137" si="18">SUM(D120:D136)</f>
        <v>3385511000</v>
      </c>
      <c r="E137" s="16">
        <f t="shared" si="18"/>
        <v>4140511000</v>
      </c>
      <c r="F137" s="16">
        <f t="shared" si="18"/>
        <v>4140511000</v>
      </c>
      <c r="G137" s="16">
        <f t="shared" si="18"/>
        <v>100000000</v>
      </c>
      <c r="H137" s="16">
        <f t="shared" si="18"/>
        <v>100000000</v>
      </c>
      <c r="I137" s="16">
        <f t="shared" ref="I137" si="19">SUM(I120:I136)</f>
        <v>4240511000</v>
      </c>
      <c r="J137" s="16">
        <f t="shared" si="18"/>
        <v>3916070000</v>
      </c>
      <c r="K137" s="16">
        <f t="shared" si="18"/>
        <v>3916070000</v>
      </c>
      <c r="L137" s="16">
        <f t="shared" si="18"/>
        <v>324441000</v>
      </c>
      <c r="M137" s="16">
        <f t="shared" si="18"/>
        <v>250000000</v>
      </c>
      <c r="N137" s="16">
        <f t="shared" ref="N137" si="20">SUM(N120:N136)</f>
        <v>4166070000</v>
      </c>
      <c r="O137" s="16">
        <f t="shared" si="18"/>
        <v>3916070000</v>
      </c>
      <c r="P137" s="16">
        <f t="shared" si="18"/>
        <v>3916070000</v>
      </c>
      <c r="Q137" s="16">
        <f t="shared" si="18"/>
        <v>324441000</v>
      </c>
      <c r="R137" s="264">
        <f t="shared" si="18"/>
        <v>250000000</v>
      </c>
      <c r="S137" s="16">
        <f t="shared" ref="S137" si="21">SUM(S120:S136)</f>
        <v>4166070000</v>
      </c>
      <c r="U137" s="229"/>
    </row>
    <row r="138" spans="1:21" ht="15.75" customHeight="1" thickBot="1" x14ac:dyDescent="0.3">
      <c r="A138" s="15" t="s">
        <v>18</v>
      </c>
      <c r="B138" s="14"/>
      <c r="C138" s="13" t="s">
        <v>19</v>
      </c>
      <c r="D138" s="12">
        <f>D66+D68+D72+D74+D79+D81+D88+D91+D93+D96+D112+D115+D117+D119+D137</f>
        <v>16240031230</v>
      </c>
      <c r="E138" s="11">
        <f>E66+E68+E72+E74+E79+E81+E88+E91+E93+E96+E112+E115+E117+E119+E137</f>
        <v>17377507230</v>
      </c>
      <c r="F138" s="10"/>
      <c r="G138" s="9">
        <f>G66+G68+G72+G74+G79+G81+G88+G91+G93+G96+G112+G115+G117+G119+G137</f>
        <v>1052748000</v>
      </c>
      <c r="H138" s="251">
        <f>H66+H68+H72+H74+H79+H81+H88+H91+H93+H96+H112+H115+H117+H119+H137</f>
        <v>220000000</v>
      </c>
      <c r="I138" s="292">
        <f>I66+I68+I72+I74+I79+I81+I88+I91+I93+I96+I112+I115+I117+I119+I137</f>
        <v>17597507230</v>
      </c>
      <c r="J138" s="11">
        <f>J66+J68+J72+J74+J79+J81+J88+J91+J93+J96+J112+J115+J117+J119+J137</f>
        <v>17649679230</v>
      </c>
      <c r="K138" s="10"/>
      <c r="L138" s="9">
        <f>L66+L68+L72+L74+L79+L81+L88+L91+L93+L96+L112+L115+L117+L119+L137</f>
        <v>1782768000</v>
      </c>
      <c r="M138" s="251">
        <f>M66+M68+M72+M74+M79+M81+M88+M91+M93+M96+M112+M115+M117+M119+M137</f>
        <v>739000000</v>
      </c>
      <c r="N138" s="292">
        <f>N66+N68+N72+N74+N79+N81+N88+N91+N93+N96+N112+N115+N117+N119+N137</f>
        <v>18388679230</v>
      </c>
      <c r="O138" s="11">
        <f>O66+O68+O72+O74+O79+O81+O88+O91+O93+O96+O112+O115+O117+O119+O137</f>
        <v>17649679230</v>
      </c>
      <c r="P138" s="10"/>
      <c r="Q138" s="9">
        <f>Q66+Q68+Q72+Q74+Q79+Q81+Q88+Q91+Q93+Q96+Q112+Q115+Q117+Q119+Q137</f>
        <v>3404632000</v>
      </c>
      <c r="R138" s="289">
        <f>R66+R68+R72+R74+R79+R81+R88+R91+R93+R96+R112+R115+R117+R119+R137</f>
        <v>1513997000</v>
      </c>
      <c r="S138" s="292">
        <f>S66+S68+S72+S74+S79+S81+S88+S91+S93+S96+S112+S115+S117+S119+S137</f>
        <v>19163676230</v>
      </c>
    </row>
    <row r="139" spans="1:21" ht="8.25" customHeight="1" thickBot="1" x14ac:dyDescent="0.3">
      <c r="A139" s="3"/>
      <c r="B139" s="3"/>
      <c r="C139" s="3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21" ht="20.25" customHeight="1" thickBot="1" x14ac:dyDescent="0.3">
      <c r="A140" s="8" t="s">
        <v>18</v>
      </c>
      <c r="B140" s="7"/>
      <c r="C140" s="7" t="s">
        <v>17</v>
      </c>
      <c r="D140" s="6">
        <f>D61+D138</f>
        <v>32661390457</v>
      </c>
      <c r="E140" s="6">
        <f>E61+E138</f>
        <v>34974981407</v>
      </c>
      <c r="F140" s="305"/>
      <c r="G140" s="5">
        <f>G61+G138</f>
        <v>1887841441</v>
      </c>
      <c r="H140" s="252">
        <f>H61+H138</f>
        <v>1103362339</v>
      </c>
      <c r="I140" s="293">
        <f>I61+I138</f>
        <v>36078343746</v>
      </c>
      <c r="J140" s="6">
        <f>J61+J138</f>
        <v>34542458418</v>
      </c>
      <c r="K140" s="305"/>
      <c r="L140" s="5">
        <f>L61+L138</f>
        <v>3163592012</v>
      </c>
      <c r="M140" s="252">
        <f>M61+M138</f>
        <v>2909449151</v>
      </c>
      <c r="N140" s="293">
        <f>N61+N138</f>
        <v>37451907569</v>
      </c>
      <c r="O140" s="6">
        <f>O61+O138</f>
        <v>34542458418</v>
      </c>
      <c r="P140" s="305"/>
      <c r="Q140" s="5">
        <f>Q61+Q138</f>
        <v>4438655012</v>
      </c>
      <c r="R140" s="252">
        <f>R61+R138</f>
        <v>3810337151</v>
      </c>
      <c r="S140" s="293">
        <f>S61+S138</f>
        <v>38352795569</v>
      </c>
    </row>
    <row r="141" spans="1:21" ht="9" customHeight="1" thickBot="1" x14ac:dyDescent="0.3">
      <c r="A141" s="3"/>
      <c r="B141" s="3"/>
      <c r="C141" s="3"/>
    </row>
    <row r="142" spans="1:21" ht="15.75" customHeight="1" thickBot="1" x14ac:dyDescent="0.3">
      <c r="A142" s="253"/>
      <c r="B142" s="254"/>
      <c r="C142" s="255" t="s">
        <v>146</v>
      </c>
      <c r="D142" s="256"/>
      <c r="E142" s="257"/>
      <c r="F142" s="258"/>
      <c r="G142" s="257"/>
      <c r="H142" s="257"/>
      <c r="I142" s="258"/>
      <c r="J142" s="257"/>
      <c r="K142" s="258"/>
      <c r="L142" s="257"/>
      <c r="M142" s="257"/>
      <c r="N142" s="258"/>
      <c r="O142" s="257"/>
      <c r="P142" s="258"/>
      <c r="Q142" s="257"/>
      <c r="R142" s="259">
        <v>1700000000</v>
      </c>
      <c r="S142" s="292">
        <v>1700000000</v>
      </c>
    </row>
    <row r="143" spans="1:21" x14ac:dyDescent="0.25">
      <c r="A143" s="3"/>
      <c r="B143" s="3"/>
      <c r="C143" s="3"/>
    </row>
    <row r="144" spans="1:21" x14ac:dyDescent="0.25">
      <c r="A144" s="230" t="s">
        <v>16</v>
      </c>
      <c r="B144" s="230" t="s">
        <v>161</v>
      </c>
      <c r="C144" s="3"/>
    </row>
    <row r="145" spans="1:19" x14ac:dyDescent="0.25">
      <c r="A145" s="230"/>
      <c r="B145" s="230"/>
      <c r="C145" s="230" t="s">
        <v>162</v>
      </c>
      <c r="N145" s="304"/>
    </row>
    <row r="146" spans="1:19" x14ac:dyDescent="0.25">
      <c r="A146" s="4" t="s">
        <v>15</v>
      </c>
      <c r="B146" s="230" t="s">
        <v>157</v>
      </c>
      <c r="C146" s="3"/>
      <c r="I146" s="229"/>
      <c r="N146" s="304"/>
      <c r="S146" s="304"/>
    </row>
    <row r="147" spans="1:19" x14ac:dyDescent="0.25">
      <c r="A147" s="230" t="s">
        <v>156</v>
      </c>
      <c r="B147" s="230" t="s">
        <v>158</v>
      </c>
      <c r="C147" s="3"/>
    </row>
    <row r="148" spans="1:19" x14ac:dyDescent="0.25">
      <c r="A148" s="3"/>
      <c r="B148" s="3"/>
      <c r="C148" s="3"/>
      <c r="F148" s="230"/>
      <c r="H148" s="229"/>
      <c r="I148" s="229"/>
      <c r="M148" s="229"/>
      <c r="N148" s="229"/>
      <c r="R148" s="229"/>
      <c r="S148" s="229"/>
    </row>
    <row r="149" spans="1:19" x14ac:dyDescent="0.25">
      <c r="A149" s="3"/>
      <c r="B149" s="3"/>
      <c r="C149" s="230"/>
      <c r="E149" s="229"/>
      <c r="F149" s="230"/>
      <c r="H149" s="238"/>
      <c r="I149" s="238"/>
      <c r="M149" s="238"/>
      <c r="N149" s="238"/>
      <c r="R149" s="238"/>
      <c r="S149" s="238"/>
    </row>
    <row r="150" spans="1:19" x14ac:dyDescent="0.25">
      <c r="A150" s="3"/>
      <c r="B150" s="3"/>
      <c r="C150" s="230"/>
      <c r="F150" s="230"/>
      <c r="H150" s="229"/>
      <c r="I150" s="229"/>
      <c r="M150" s="229"/>
      <c r="N150" s="229"/>
      <c r="R150" s="229"/>
      <c r="S150" s="229"/>
    </row>
    <row r="151" spans="1:19" x14ac:dyDescent="0.25">
      <c r="A151" s="3"/>
      <c r="B151" s="3"/>
      <c r="C151" s="230"/>
      <c r="H151" s="229"/>
      <c r="I151" s="229"/>
      <c r="M151" s="229"/>
      <c r="N151" s="229"/>
      <c r="R151" s="229"/>
      <c r="S151" s="229"/>
    </row>
    <row r="152" spans="1:19" x14ac:dyDescent="0.25">
      <c r="A152" s="3"/>
      <c r="B152" s="3"/>
      <c r="C152" s="230"/>
      <c r="H152" s="248"/>
      <c r="I152" s="248"/>
      <c r="M152" s="229"/>
      <c r="N152" s="229"/>
      <c r="R152" s="229"/>
      <c r="S152" s="229"/>
    </row>
    <row r="153" spans="1:19" x14ac:dyDescent="0.25">
      <c r="A153" s="3"/>
      <c r="B153" s="3"/>
      <c r="C153" s="230"/>
      <c r="H153" s="229"/>
      <c r="I153" s="229"/>
      <c r="M153" s="229"/>
      <c r="N153" s="229"/>
      <c r="R153" s="229"/>
      <c r="S153" s="229"/>
    </row>
    <row r="154" spans="1:19" x14ac:dyDescent="0.25">
      <c r="A154" s="3"/>
      <c r="B154" s="3"/>
      <c r="C154" s="230"/>
      <c r="H154" s="229"/>
      <c r="I154" s="229"/>
      <c r="M154" s="229"/>
      <c r="N154" s="229"/>
      <c r="R154" s="229"/>
      <c r="S154" s="229"/>
    </row>
    <row r="155" spans="1:19" x14ac:dyDescent="0.25">
      <c r="A155" s="3"/>
      <c r="B155" s="3"/>
      <c r="C155" s="3"/>
      <c r="H155" s="237"/>
      <c r="I155" s="237"/>
      <c r="M155" s="237"/>
      <c r="N155" s="237"/>
      <c r="R155" s="237"/>
      <c r="S155" s="237"/>
    </row>
    <row r="156" spans="1:19" x14ac:dyDescent="0.25">
      <c r="A156" s="3"/>
      <c r="B156" s="3"/>
      <c r="C156" s="3"/>
    </row>
    <row r="157" spans="1:19" x14ac:dyDescent="0.25">
      <c r="A157" s="3"/>
      <c r="B157" s="3"/>
      <c r="C157" s="3"/>
    </row>
    <row r="158" spans="1:19" x14ac:dyDescent="0.25">
      <c r="A158" s="3"/>
      <c r="B158" s="3"/>
      <c r="C158" s="3"/>
    </row>
    <row r="159" spans="1:19" x14ac:dyDescent="0.25">
      <c r="A159" s="3"/>
      <c r="B159" s="3"/>
      <c r="C159" s="3"/>
    </row>
    <row r="160" spans="1:19" x14ac:dyDescent="0.25">
      <c r="A160" s="3"/>
      <c r="B160" s="3"/>
      <c r="C160" s="3"/>
    </row>
    <row r="161" spans="1:3" x14ac:dyDescent="0.25">
      <c r="A161" s="3"/>
      <c r="B161" s="3"/>
      <c r="C161" s="3"/>
    </row>
    <row r="162" spans="1:3" x14ac:dyDescent="0.25">
      <c r="A162" s="3"/>
      <c r="B162" s="3"/>
      <c r="C162" s="3"/>
    </row>
    <row r="163" spans="1:3" x14ac:dyDescent="0.25">
      <c r="A163" s="3"/>
      <c r="B163" s="3"/>
      <c r="C163" s="3"/>
    </row>
    <row r="164" spans="1:3" x14ac:dyDescent="0.25">
      <c r="A164" s="3"/>
      <c r="B164" s="3"/>
      <c r="C164" s="3"/>
    </row>
    <row r="165" spans="1:3" x14ac:dyDescent="0.25">
      <c r="A165" s="3"/>
      <c r="B165" s="3"/>
      <c r="C165" s="3"/>
    </row>
    <row r="166" spans="1:3" x14ac:dyDescent="0.25">
      <c r="A166" s="3"/>
      <c r="B166" s="3"/>
      <c r="C166" s="3"/>
    </row>
    <row r="167" spans="1:3" x14ac:dyDescent="0.25">
      <c r="A167" s="3"/>
      <c r="B167" s="3"/>
      <c r="C167" s="3"/>
    </row>
    <row r="168" spans="1:3" x14ac:dyDescent="0.25">
      <c r="A168" s="3"/>
      <c r="B168" s="3"/>
      <c r="C168" s="3"/>
    </row>
    <row r="169" spans="1:3" x14ac:dyDescent="0.25">
      <c r="A169" s="3"/>
      <c r="B169" s="3"/>
      <c r="C169" s="3"/>
    </row>
    <row r="170" spans="1:3" x14ac:dyDescent="0.25">
      <c r="A170" s="3"/>
      <c r="B170" s="3"/>
      <c r="C170" s="3"/>
    </row>
    <row r="171" spans="1:3" x14ac:dyDescent="0.25">
      <c r="A171" s="3"/>
      <c r="B171" s="3"/>
      <c r="C171" s="3"/>
    </row>
    <row r="172" spans="1:3" x14ac:dyDescent="0.25">
      <c r="A172" s="3"/>
      <c r="B172" s="3"/>
      <c r="C172" s="3"/>
    </row>
    <row r="173" spans="1:3" x14ac:dyDescent="0.25">
      <c r="A173" s="3"/>
      <c r="B173" s="3"/>
      <c r="C173" s="3"/>
    </row>
    <row r="174" spans="1:3" x14ac:dyDescent="0.25">
      <c r="A174" s="3"/>
      <c r="B174" s="3"/>
      <c r="C174" s="3"/>
    </row>
    <row r="175" spans="1:3" x14ac:dyDescent="0.25">
      <c r="A175" s="3"/>
      <c r="B175" s="3"/>
      <c r="C175" s="3"/>
    </row>
    <row r="176" spans="1:3" x14ac:dyDescent="0.25">
      <c r="A176" s="3"/>
      <c r="B176" s="3"/>
      <c r="C176" s="3"/>
    </row>
    <row r="177" spans="1:3" x14ac:dyDescent="0.25">
      <c r="A177" s="3"/>
      <c r="B177" s="3"/>
      <c r="C177" s="3"/>
    </row>
    <row r="178" spans="1:3" x14ac:dyDescent="0.25">
      <c r="A178" s="3"/>
      <c r="B178" s="3"/>
      <c r="C178" s="3"/>
    </row>
    <row r="179" spans="1:3" x14ac:dyDescent="0.25">
      <c r="A179" s="3"/>
      <c r="B179" s="3"/>
      <c r="C179" s="3"/>
    </row>
    <row r="180" spans="1:3" x14ac:dyDescent="0.25">
      <c r="A180" s="3"/>
      <c r="B180" s="3"/>
      <c r="C180" s="3"/>
    </row>
    <row r="181" spans="1:3" x14ac:dyDescent="0.25">
      <c r="A181" s="3"/>
      <c r="B181" s="3"/>
      <c r="C181" s="3"/>
    </row>
    <row r="182" spans="1:3" x14ac:dyDescent="0.25">
      <c r="A182" s="3"/>
      <c r="B182" s="3"/>
      <c r="C182" s="3"/>
    </row>
    <row r="183" spans="1:3" x14ac:dyDescent="0.25">
      <c r="A183" s="3"/>
      <c r="B183" s="3"/>
      <c r="C183" s="3"/>
    </row>
    <row r="184" spans="1:3" x14ac:dyDescent="0.25">
      <c r="A184" s="3"/>
      <c r="B184" s="3"/>
      <c r="C184" s="3"/>
    </row>
    <row r="185" spans="1:3" x14ac:dyDescent="0.25">
      <c r="A185" s="3"/>
      <c r="B185" s="3"/>
      <c r="C185" s="3"/>
    </row>
    <row r="186" spans="1:3" x14ac:dyDescent="0.25">
      <c r="A186" s="3"/>
      <c r="B186" s="3"/>
      <c r="C186" s="3"/>
    </row>
    <row r="187" spans="1:3" x14ac:dyDescent="0.25">
      <c r="A187" s="3"/>
      <c r="B187" s="3"/>
      <c r="C187" s="3"/>
    </row>
    <row r="188" spans="1:3" x14ac:dyDescent="0.25">
      <c r="A188" s="3"/>
      <c r="B188" s="3"/>
      <c r="C188" s="3"/>
    </row>
    <row r="189" spans="1:3" x14ac:dyDescent="0.25">
      <c r="A189" s="3"/>
      <c r="B189" s="3"/>
      <c r="C189" s="3"/>
    </row>
    <row r="190" spans="1:3" x14ac:dyDescent="0.25">
      <c r="A190" s="3"/>
      <c r="B190" s="3"/>
      <c r="C190" s="3"/>
    </row>
    <row r="191" spans="1:3" x14ac:dyDescent="0.25">
      <c r="A191" s="3"/>
      <c r="B191" s="3"/>
      <c r="C191" s="3"/>
    </row>
    <row r="192" spans="1:3" x14ac:dyDescent="0.25">
      <c r="A192" s="3"/>
      <c r="B192" s="3"/>
      <c r="C192" s="3"/>
    </row>
    <row r="193" spans="1:3" x14ac:dyDescent="0.25">
      <c r="A193" s="3"/>
      <c r="B193" s="3"/>
      <c r="C193" s="3"/>
    </row>
    <row r="194" spans="1:3" x14ac:dyDescent="0.25">
      <c r="A194" s="3"/>
      <c r="B194" s="3"/>
      <c r="C194" s="3"/>
    </row>
    <row r="195" spans="1:3" x14ac:dyDescent="0.25">
      <c r="A195" s="3"/>
      <c r="B195" s="3"/>
      <c r="C195" s="3"/>
    </row>
    <row r="196" spans="1:3" x14ac:dyDescent="0.25">
      <c r="A196" s="3"/>
      <c r="B196" s="3"/>
      <c r="C196" s="3"/>
    </row>
    <row r="197" spans="1:3" x14ac:dyDescent="0.25">
      <c r="A197" s="3"/>
      <c r="B197" s="3"/>
      <c r="C197" s="3"/>
    </row>
    <row r="198" spans="1:3" x14ac:dyDescent="0.25">
      <c r="A198" s="3"/>
      <c r="B198" s="3"/>
      <c r="C198" s="3"/>
    </row>
    <row r="199" spans="1:3" x14ac:dyDescent="0.25">
      <c r="A199" s="3"/>
      <c r="B199" s="3"/>
      <c r="C199" s="3"/>
    </row>
    <row r="200" spans="1:3" x14ac:dyDescent="0.25">
      <c r="A200" s="3"/>
      <c r="B200" s="3"/>
      <c r="C200" s="3"/>
    </row>
    <row r="201" spans="1:3" x14ac:dyDescent="0.25">
      <c r="A201" s="3"/>
      <c r="B201" s="3"/>
      <c r="C201" s="3"/>
    </row>
    <row r="202" spans="1:3" x14ac:dyDescent="0.25">
      <c r="A202" s="3"/>
      <c r="B202" s="3"/>
      <c r="C202" s="3"/>
    </row>
    <row r="203" spans="1:3" x14ac:dyDescent="0.25">
      <c r="A203" s="3"/>
      <c r="B203" s="3"/>
      <c r="C203" s="3"/>
    </row>
    <row r="204" spans="1:3" x14ac:dyDescent="0.25">
      <c r="A204" s="3"/>
      <c r="B204" s="3"/>
      <c r="C204" s="3"/>
    </row>
    <row r="205" spans="1:3" x14ac:dyDescent="0.25">
      <c r="A205" s="3"/>
      <c r="B205" s="3"/>
      <c r="C205" s="3"/>
    </row>
    <row r="206" spans="1:3" x14ac:dyDescent="0.25">
      <c r="A206" s="3"/>
      <c r="B206" s="3"/>
      <c r="C206" s="3"/>
    </row>
    <row r="207" spans="1:3" x14ac:dyDescent="0.25">
      <c r="A207" s="3"/>
      <c r="B207" s="3"/>
      <c r="C207" s="3"/>
    </row>
    <row r="208" spans="1:3" x14ac:dyDescent="0.25">
      <c r="A208" s="3"/>
      <c r="B208" s="3"/>
      <c r="C208" s="3"/>
    </row>
    <row r="209" spans="1:3" x14ac:dyDescent="0.25">
      <c r="A209" s="3"/>
      <c r="B209" s="3"/>
      <c r="C209" s="3"/>
    </row>
    <row r="210" spans="1:3" x14ac:dyDescent="0.25">
      <c r="A210" s="3"/>
      <c r="B210" s="3"/>
      <c r="C210" s="3"/>
    </row>
    <row r="211" spans="1:3" x14ac:dyDescent="0.25">
      <c r="A211" s="3"/>
      <c r="B211" s="3"/>
      <c r="C211" s="3"/>
    </row>
    <row r="212" spans="1:3" x14ac:dyDescent="0.25">
      <c r="A212" s="3"/>
      <c r="B212" s="3"/>
      <c r="C212" s="3"/>
    </row>
    <row r="213" spans="1:3" x14ac:dyDescent="0.25">
      <c r="A213" s="3"/>
      <c r="B213" s="3"/>
      <c r="C213" s="3"/>
    </row>
    <row r="214" spans="1:3" x14ac:dyDescent="0.25">
      <c r="A214" s="3"/>
      <c r="B214" s="3"/>
      <c r="C214" s="3"/>
    </row>
    <row r="215" spans="1:3" x14ac:dyDescent="0.25">
      <c r="A215" s="3"/>
      <c r="B215" s="3"/>
      <c r="C215" s="3"/>
    </row>
    <row r="216" spans="1:3" x14ac:dyDescent="0.25">
      <c r="A216" s="3"/>
      <c r="B216" s="3"/>
      <c r="C216" s="3"/>
    </row>
    <row r="217" spans="1:3" x14ac:dyDescent="0.25">
      <c r="A217" s="3"/>
      <c r="B217" s="3"/>
      <c r="C217" s="3"/>
    </row>
    <row r="218" spans="1:3" x14ac:dyDescent="0.25">
      <c r="A218" s="3"/>
      <c r="B218" s="3"/>
      <c r="C218" s="3"/>
    </row>
    <row r="219" spans="1:3" x14ac:dyDescent="0.25">
      <c r="A219" s="3"/>
      <c r="B219" s="3"/>
      <c r="C219" s="3"/>
    </row>
    <row r="220" spans="1:3" x14ac:dyDescent="0.25">
      <c r="A220" s="3"/>
      <c r="B220" s="3"/>
      <c r="C220" s="3"/>
    </row>
    <row r="221" spans="1:3" x14ac:dyDescent="0.25">
      <c r="A221" s="3"/>
      <c r="B221" s="3"/>
      <c r="C221" s="3"/>
    </row>
    <row r="222" spans="1:3" x14ac:dyDescent="0.25">
      <c r="A222" s="3"/>
      <c r="B222" s="3"/>
      <c r="C222" s="3"/>
    </row>
    <row r="223" spans="1:3" x14ac:dyDescent="0.25">
      <c r="A223" s="3"/>
      <c r="B223" s="3"/>
      <c r="C223" s="3"/>
    </row>
    <row r="224" spans="1:3" x14ac:dyDescent="0.25">
      <c r="A224" s="3"/>
      <c r="B224" s="3"/>
      <c r="C224" s="3"/>
    </row>
    <row r="225" spans="1:3" x14ac:dyDescent="0.25">
      <c r="A225" s="3"/>
      <c r="B225" s="3"/>
      <c r="C225" s="3"/>
    </row>
    <row r="226" spans="1:3" x14ac:dyDescent="0.25">
      <c r="A226" s="3"/>
      <c r="B226" s="3"/>
      <c r="C226" s="3"/>
    </row>
    <row r="227" spans="1:3" x14ac:dyDescent="0.25">
      <c r="A227" s="3"/>
      <c r="B227" s="3"/>
      <c r="C227" s="3"/>
    </row>
    <row r="228" spans="1:3" x14ac:dyDescent="0.25">
      <c r="A228" s="3"/>
      <c r="B228" s="3"/>
      <c r="C228" s="3"/>
    </row>
    <row r="229" spans="1:3" x14ac:dyDescent="0.25">
      <c r="A229" s="3"/>
      <c r="B229" s="3"/>
      <c r="C229" s="3"/>
    </row>
    <row r="230" spans="1:3" x14ac:dyDescent="0.25">
      <c r="A230" s="3"/>
      <c r="B230" s="3"/>
      <c r="C230" s="3"/>
    </row>
    <row r="231" spans="1:3" x14ac:dyDescent="0.25">
      <c r="A231" s="3"/>
      <c r="B231" s="3"/>
      <c r="C231" s="3"/>
    </row>
    <row r="232" spans="1:3" x14ac:dyDescent="0.25">
      <c r="A232" s="3"/>
      <c r="B232" s="3"/>
      <c r="C232" s="3"/>
    </row>
    <row r="233" spans="1:3" x14ac:dyDescent="0.25">
      <c r="A233" s="3"/>
      <c r="B233" s="3"/>
      <c r="C233" s="3"/>
    </row>
    <row r="234" spans="1:3" x14ac:dyDescent="0.25">
      <c r="A234" s="3"/>
      <c r="B234" s="3"/>
      <c r="C234" s="3"/>
    </row>
    <row r="235" spans="1:3" x14ac:dyDescent="0.25">
      <c r="A235" s="3"/>
      <c r="B235" s="3"/>
      <c r="C235" s="3"/>
    </row>
    <row r="236" spans="1:3" x14ac:dyDescent="0.25">
      <c r="A236" s="3"/>
      <c r="B236" s="3"/>
      <c r="C236" s="3"/>
    </row>
    <row r="237" spans="1:3" x14ac:dyDescent="0.25">
      <c r="A237" s="3"/>
      <c r="B237" s="3"/>
      <c r="C237" s="3"/>
    </row>
    <row r="238" spans="1:3" x14ac:dyDescent="0.25">
      <c r="A238" s="3"/>
      <c r="B238" s="3"/>
      <c r="C238" s="3"/>
    </row>
    <row r="239" spans="1:3" x14ac:dyDescent="0.25">
      <c r="A239" s="3"/>
      <c r="B239" s="3"/>
      <c r="C239" s="3"/>
    </row>
    <row r="240" spans="1:3" x14ac:dyDescent="0.25">
      <c r="A240" s="3"/>
      <c r="B240" s="3"/>
      <c r="C240" s="3"/>
    </row>
    <row r="241" spans="1:3" x14ac:dyDescent="0.25">
      <c r="A241" s="3"/>
      <c r="B241" s="3"/>
      <c r="C241" s="3"/>
    </row>
    <row r="242" spans="1:3" x14ac:dyDescent="0.25">
      <c r="A242" s="3"/>
      <c r="B242" s="3"/>
      <c r="C242" s="3"/>
    </row>
    <row r="243" spans="1:3" x14ac:dyDescent="0.25">
      <c r="A243" s="3"/>
      <c r="B243" s="3"/>
      <c r="C243" s="3"/>
    </row>
    <row r="244" spans="1:3" x14ac:dyDescent="0.25">
      <c r="A244" s="3"/>
      <c r="B244" s="3"/>
      <c r="C244" s="3"/>
    </row>
    <row r="245" spans="1:3" x14ac:dyDescent="0.25">
      <c r="A245" s="3"/>
      <c r="B245" s="3"/>
      <c r="C245" s="3"/>
    </row>
    <row r="246" spans="1:3" x14ac:dyDescent="0.25">
      <c r="A246" s="3"/>
      <c r="B246" s="3"/>
      <c r="C246" s="3"/>
    </row>
    <row r="247" spans="1:3" x14ac:dyDescent="0.25">
      <c r="A247" s="3"/>
      <c r="B247" s="3"/>
      <c r="C247" s="3"/>
    </row>
    <row r="248" spans="1:3" x14ac:dyDescent="0.25">
      <c r="A248" s="3"/>
      <c r="B248" s="3"/>
      <c r="C248" s="3"/>
    </row>
    <row r="249" spans="1:3" x14ac:dyDescent="0.25">
      <c r="A249" s="3"/>
      <c r="B249" s="3"/>
      <c r="C249" s="3"/>
    </row>
    <row r="250" spans="1:3" x14ac:dyDescent="0.25">
      <c r="A250" s="3"/>
      <c r="B250" s="3"/>
      <c r="C250" s="3"/>
    </row>
    <row r="251" spans="1:3" x14ac:dyDescent="0.25">
      <c r="A251" s="3"/>
      <c r="B251" s="3"/>
      <c r="C251" s="3"/>
    </row>
    <row r="252" spans="1:3" x14ac:dyDescent="0.25">
      <c r="A252" s="3"/>
      <c r="B252" s="3"/>
      <c r="C252" s="3"/>
    </row>
    <row r="253" spans="1:3" x14ac:dyDescent="0.25">
      <c r="A253" s="3"/>
      <c r="B253" s="3"/>
      <c r="C253" s="3"/>
    </row>
    <row r="254" spans="1:3" x14ac:dyDescent="0.25">
      <c r="A254" s="3"/>
      <c r="B254" s="3"/>
      <c r="C254" s="3"/>
    </row>
    <row r="255" spans="1:3" x14ac:dyDescent="0.25">
      <c r="A255" s="3"/>
      <c r="B255" s="3"/>
      <c r="C255" s="3"/>
    </row>
    <row r="256" spans="1:3" x14ac:dyDescent="0.25">
      <c r="A256" s="3"/>
      <c r="B256" s="3"/>
      <c r="C256" s="3"/>
    </row>
    <row r="257" spans="1:3" x14ac:dyDescent="0.25">
      <c r="A257" s="3"/>
      <c r="B257" s="3"/>
      <c r="C257" s="3"/>
    </row>
    <row r="258" spans="1:3" x14ac:dyDescent="0.25">
      <c r="A258" s="3"/>
      <c r="B258" s="3"/>
      <c r="C258" s="3"/>
    </row>
    <row r="259" spans="1:3" x14ac:dyDescent="0.25">
      <c r="A259" s="3"/>
      <c r="B259" s="3"/>
      <c r="C259" s="3"/>
    </row>
    <row r="260" spans="1:3" x14ac:dyDescent="0.25">
      <c r="A260" s="3"/>
      <c r="B260" s="3"/>
      <c r="C260" s="3"/>
    </row>
    <row r="261" spans="1:3" x14ac:dyDescent="0.25">
      <c r="A261" s="3"/>
      <c r="B261" s="3"/>
      <c r="C261" s="3"/>
    </row>
    <row r="262" spans="1:3" x14ac:dyDescent="0.25">
      <c r="A262" s="3"/>
      <c r="B262" s="3"/>
      <c r="C262" s="3"/>
    </row>
    <row r="263" spans="1:3" x14ac:dyDescent="0.25">
      <c r="A263" s="3"/>
      <c r="B263" s="3"/>
      <c r="C263" s="3"/>
    </row>
    <row r="264" spans="1:3" x14ac:dyDescent="0.25">
      <c r="A264" s="3"/>
      <c r="B264" s="3"/>
      <c r="C264" s="3"/>
    </row>
    <row r="265" spans="1:3" x14ac:dyDescent="0.25">
      <c r="A265" s="3"/>
      <c r="B265" s="3"/>
      <c r="C265" s="3"/>
    </row>
    <row r="266" spans="1:3" x14ac:dyDescent="0.25">
      <c r="A266" s="3"/>
      <c r="B266" s="3"/>
      <c r="C266" s="3"/>
    </row>
    <row r="267" spans="1:3" x14ac:dyDescent="0.25">
      <c r="A267" s="3"/>
      <c r="B267" s="3"/>
      <c r="C267" s="3"/>
    </row>
    <row r="268" spans="1:3" x14ac:dyDescent="0.25">
      <c r="A268" s="3"/>
      <c r="B268" s="3"/>
      <c r="C268" s="3"/>
    </row>
    <row r="269" spans="1:3" x14ac:dyDescent="0.25">
      <c r="A269" s="3"/>
      <c r="B269" s="3"/>
      <c r="C269" s="3"/>
    </row>
    <row r="270" spans="1:3" x14ac:dyDescent="0.25">
      <c r="A270" s="3"/>
      <c r="B270" s="3"/>
      <c r="C270" s="3"/>
    </row>
    <row r="271" spans="1:3" x14ac:dyDescent="0.25">
      <c r="A271" s="3"/>
      <c r="B271" s="3"/>
      <c r="C271" s="3"/>
    </row>
    <row r="272" spans="1:3" x14ac:dyDescent="0.25">
      <c r="A272" s="3"/>
      <c r="B272" s="3"/>
      <c r="C272" s="3"/>
    </row>
    <row r="273" spans="1:3" x14ac:dyDescent="0.25">
      <c r="A273" s="3"/>
      <c r="B273" s="3"/>
      <c r="C273" s="3"/>
    </row>
    <row r="274" spans="1:3" x14ac:dyDescent="0.25">
      <c r="A274" s="3"/>
      <c r="B274" s="3"/>
      <c r="C274" s="3"/>
    </row>
    <row r="275" spans="1:3" x14ac:dyDescent="0.25">
      <c r="A275" s="3"/>
      <c r="B275" s="3"/>
      <c r="C275" s="3"/>
    </row>
    <row r="276" spans="1:3" x14ac:dyDescent="0.25">
      <c r="A276" s="3"/>
      <c r="B276" s="3"/>
      <c r="C276" s="3"/>
    </row>
    <row r="277" spans="1:3" x14ac:dyDescent="0.25">
      <c r="A277" s="3"/>
      <c r="B277" s="3"/>
      <c r="C277" s="3"/>
    </row>
    <row r="278" spans="1:3" x14ac:dyDescent="0.25">
      <c r="A278" s="3"/>
      <c r="B278" s="3"/>
      <c r="C278" s="3"/>
    </row>
    <row r="279" spans="1:3" x14ac:dyDescent="0.25">
      <c r="A279" s="3"/>
      <c r="B279" s="3"/>
      <c r="C279" s="3"/>
    </row>
    <row r="280" spans="1:3" x14ac:dyDescent="0.25">
      <c r="A280" s="3"/>
      <c r="B280" s="3"/>
      <c r="C280" s="3"/>
    </row>
    <row r="281" spans="1:3" x14ac:dyDescent="0.25">
      <c r="A281" s="3"/>
      <c r="B281" s="3"/>
      <c r="C281" s="3"/>
    </row>
    <row r="282" spans="1:3" x14ac:dyDescent="0.25">
      <c r="A282" s="3"/>
      <c r="B282" s="3"/>
      <c r="C282" s="3"/>
    </row>
    <row r="283" spans="1:3" x14ac:dyDescent="0.25">
      <c r="A283" s="3"/>
      <c r="B283" s="3"/>
      <c r="C283" s="3"/>
    </row>
    <row r="284" spans="1:3" x14ac:dyDescent="0.25">
      <c r="A284" s="3"/>
      <c r="B284" s="3"/>
      <c r="C284" s="3"/>
    </row>
    <row r="285" spans="1:3" x14ac:dyDescent="0.25">
      <c r="A285" s="3"/>
      <c r="B285" s="3"/>
      <c r="C285" s="3"/>
    </row>
    <row r="286" spans="1:3" x14ac:dyDescent="0.25">
      <c r="A286" s="3"/>
      <c r="B286" s="3"/>
      <c r="C286" s="3"/>
    </row>
    <row r="287" spans="1:3" x14ac:dyDescent="0.25">
      <c r="A287" s="3"/>
      <c r="B287" s="3"/>
      <c r="C287" s="3"/>
    </row>
    <row r="288" spans="1:3" x14ac:dyDescent="0.25">
      <c r="A288" s="3"/>
      <c r="B288" s="3"/>
      <c r="C288" s="3"/>
    </row>
    <row r="289" spans="1:3" x14ac:dyDescent="0.25">
      <c r="A289" s="3"/>
      <c r="B289" s="3"/>
      <c r="C289" s="3"/>
    </row>
    <row r="290" spans="1:3" x14ac:dyDescent="0.25">
      <c r="A290" s="3"/>
      <c r="B290" s="3"/>
      <c r="C290" s="3"/>
    </row>
    <row r="291" spans="1:3" x14ac:dyDescent="0.25">
      <c r="A291" s="3"/>
      <c r="B291" s="3"/>
      <c r="C291" s="3"/>
    </row>
    <row r="292" spans="1:3" x14ac:dyDescent="0.25">
      <c r="A292" s="3"/>
      <c r="B292" s="3"/>
      <c r="C292" s="3"/>
    </row>
    <row r="293" spans="1:3" x14ac:dyDescent="0.25">
      <c r="A293" s="3"/>
      <c r="B293" s="3"/>
      <c r="C293" s="3"/>
    </row>
    <row r="294" spans="1:3" x14ac:dyDescent="0.25">
      <c r="A294" s="3"/>
      <c r="B294" s="3"/>
      <c r="C294" s="3"/>
    </row>
    <row r="295" spans="1:3" x14ac:dyDescent="0.25">
      <c r="A295" s="3"/>
      <c r="B295" s="3"/>
      <c r="C295" s="3"/>
    </row>
    <row r="296" spans="1:3" x14ac:dyDescent="0.25">
      <c r="A296" s="3"/>
      <c r="B296" s="3"/>
      <c r="C296" s="3"/>
    </row>
    <row r="297" spans="1:3" x14ac:dyDescent="0.25">
      <c r="A297" s="3"/>
      <c r="B297" s="3"/>
      <c r="C297" s="3"/>
    </row>
    <row r="298" spans="1:3" x14ac:dyDescent="0.25">
      <c r="A298" s="3"/>
      <c r="B298" s="3"/>
      <c r="C298" s="3"/>
    </row>
    <row r="299" spans="1:3" x14ac:dyDescent="0.25">
      <c r="A299" s="3"/>
      <c r="B299" s="3"/>
      <c r="C299" s="3"/>
    </row>
    <row r="300" spans="1:3" x14ac:dyDescent="0.25">
      <c r="A300" s="3"/>
      <c r="B300" s="3"/>
      <c r="C300" s="3"/>
    </row>
    <row r="301" spans="1:3" x14ac:dyDescent="0.25">
      <c r="A301" s="3"/>
      <c r="B301" s="3"/>
      <c r="C301" s="3"/>
    </row>
    <row r="302" spans="1:3" x14ac:dyDescent="0.25">
      <c r="A302" s="3"/>
      <c r="B302" s="3"/>
      <c r="C302" s="3"/>
    </row>
    <row r="303" spans="1:3" x14ac:dyDescent="0.25">
      <c r="A303" s="3"/>
      <c r="B303" s="3"/>
      <c r="C303" s="3"/>
    </row>
    <row r="304" spans="1:3" x14ac:dyDescent="0.25">
      <c r="A304" s="3"/>
      <c r="B304" s="3"/>
      <c r="C304" s="3"/>
    </row>
    <row r="305" spans="1:3" x14ac:dyDescent="0.25">
      <c r="A305" s="3"/>
      <c r="B305" s="3"/>
      <c r="C305" s="3"/>
    </row>
    <row r="306" spans="1:3" x14ac:dyDescent="0.25">
      <c r="A306" s="3"/>
      <c r="B306" s="3"/>
      <c r="C306" s="3"/>
    </row>
    <row r="307" spans="1:3" x14ac:dyDescent="0.25">
      <c r="A307" s="3"/>
      <c r="B307" s="3"/>
      <c r="C307" s="3"/>
    </row>
    <row r="308" spans="1:3" x14ac:dyDescent="0.25">
      <c r="A308" s="3"/>
      <c r="B308" s="3"/>
      <c r="C308" s="3"/>
    </row>
    <row r="309" spans="1:3" x14ac:dyDescent="0.25">
      <c r="A309" s="3"/>
      <c r="B309" s="3"/>
      <c r="C309" s="3"/>
    </row>
    <row r="310" spans="1:3" x14ac:dyDescent="0.25">
      <c r="A310" s="3"/>
      <c r="B310" s="3"/>
      <c r="C310" s="3"/>
    </row>
    <row r="311" spans="1:3" x14ac:dyDescent="0.25">
      <c r="A311" s="3"/>
      <c r="B311" s="3"/>
      <c r="C311" s="3"/>
    </row>
    <row r="312" spans="1:3" x14ac:dyDescent="0.25">
      <c r="A312" s="3"/>
      <c r="B312" s="3"/>
      <c r="C312" s="3"/>
    </row>
    <row r="313" spans="1:3" x14ac:dyDescent="0.25">
      <c r="A313" s="3"/>
      <c r="B313" s="3"/>
      <c r="C313" s="3"/>
    </row>
    <row r="314" spans="1:3" x14ac:dyDescent="0.25">
      <c r="A314" s="3"/>
      <c r="B314" s="3"/>
      <c r="C314" s="3"/>
    </row>
    <row r="315" spans="1:3" x14ac:dyDescent="0.25">
      <c r="A315" s="3"/>
      <c r="B315" s="3"/>
      <c r="C315" s="3"/>
    </row>
    <row r="316" spans="1:3" x14ac:dyDescent="0.25">
      <c r="A316" s="3"/>
      <c r="B316" s="3"/>
      <c r="C316" s="3"/>
    </row>
    <row r="317" spans="1:3" x14ac:dyDescent="0.25">
      <c r="A317" s="3"/>
      <c r="B317" s="3"/>
      <c r="C317" s="3"/>
    </row>
    <row r="318" spans="1:3" x14ac:dyDescent="0.25">
      <c r="A318" s="3"/>
      <c r="B318" s="3"/>
      <c r="C318" s="3"/>
    </row>
    <row r="319" spans="1:3" x14ac:dyDescent="0.25">
      <c r="A319" s="3"/>
      <c r="B319" s="3"/>
      <c r="C319" s="3"/>
    </row>
    <row r="320" spans="1:3" x14ac:dyDescent="0.25">
      <c r="A320" s="3"/>
      <c r="B320" s="3"/>
      <c r="C320" s="3"/>
    </row>
    <row r="321" spans="1:3" x14ac:dyDescent="0.25">
      <c r="A321" s="3"/>
      <c r="B321" s="3"/>
      <c r="C321" s="3"/>
    </row>
    <row r="322" spans="1:3" x14ac:dyDescent="0.25">
      <c r="A322" s="3"/>
      <c r="B322" s="3"/>
      <c r="C322" s="3"/>
    </row>
    <row r="323" spans="1:3" x14ac:dyDescent="0.25">
      <c r="A323" s="3"/>
      <c r="B323" s="3"/>
      <c r="C323" s="3"/>
    </row>
    <row r="324" spans="1:3" x14ac:dyDescent="0.25">
      <c r="A324" s="3"/>
      <c r="B324" s="3"/>
      <c r="C324" s="3"/>
    </row>
    <row r="325" spans="1:3" x14ac:dyDescent="0.25">
      <c r="A325" s="3"/>
      <c r="B325" s="3"/>
      <c r="C325" s="3"/>
    </row>
    <row r="326" spans="1:3" x14ac:dyDescent="0.25">
      <c r="A326" s="3"/>
      <c r="B326" s="3"/>
      <c r="C326" s="3"/>
    </row>
    <row r="327" spans="1:3" x14ac:dyDescent="0.25">
      <c r="A327" s="3"/>
      <c r="B327" s="3"/>
      <c r="C327" s="3"/>
    </row>
    <row r="328" spans="1:3" x14ac:dyDescent="0.25">
      <c r="A328" s="3"/>
      <c r="B328" s="3"/>
      <c r="C328" s="3"/>
    </row>
    <row r="329" spans="1:3" x14ac:dyDescent="0.25">
      <c r="A329" s="3"/>
      <c r="B329" s="3"/>
      <c r="C329" s="3"/>
    </row>
    <row r="330" spans="1:3" x14ac:dyDescent="0.25">
      <c r="A330" s="3"/>
      <c r="B330" s="3"/>
      <c r="C330" s="3"/>
    </row>
    <row r="331" spans="1:3" x14ac:dyDescent="0.25">
      <c r="A331" s="3"/>
      <c r="B331" s="3"/>
      <c r="C331" s="3"/>
    </row>
    <row r="332" spans="1:3" x14ac:dyDescent="0.25">
      <c r="A332" s="3"/>
      <c r="B332" s="3"/>
      <c r="C332" s="3"/>
    </row>
    <row r="333" spans="1:3" x14ac:dyDescent="0.25">
      <c r="A333" s="3"/>
      <c r="B333" s="3"/>
      <c r="C333" s="3"/>
    </row>
    <row r="334" spans="1:3" x14ac:dyDescent="0.25">
      <c r="A334" s="3"/>
      <c r="B334" s="3"/>
      <c r="C334" s="3"/>
    </row>
    <row r="335" spans="1:3" x14ac:dyDescent="0.25">
      <c r="A335" s="3"/>
      <c r="B335" s="3"/>
      <c r="C335" s="3"/>
    </row>
    <row r="336" spans="1:3" x14ac:dyDescent="0.25">
      <c r="A336" s="3"/>
      <c r="B336" s="3"/>
      <c r="C336" s="3"/>
    </row>
    <row r="337" spans="1:3" x14ac:dyDescent="0.25">
      <c r="A337" s="3"/>
      <c r="B337" s="3"/>
      <c r="C337" s="3"/>
    </row>
    <row r="338" spans="1:3" x14ac:dyDescent="0.25">
      <c r="A338" s="3"/>
      <c r="B338" s="3"/>
      <c r="C338" s="3"/>
    </row>
    <row r="339" spans="1:3" x14ac:dyDescent="0.25">
      <c r="A339" s="3"/>
      <c r="B339" s="3"/>
      <c r="C339" s="3"/>
    </row>
    <row r="340" spans="1:3" x14ac:dyDescent="0.25">
      <c r="A340" s="3"/>
      <c r="B340" s="3"/>
      <c r="C340" s="3"/>
    </row>
    <row r="341" spans="1:3" x14ac:dyDescent="0.25">
      <c r="A341" s="3"/>
      <c r="B341" s="3"/>
      <c r="C341" s="3"/>
    </row>
    <row r="342" spans="1:3" x14ac:dyDescent="0.25">
      <c r="A342" s="3"/>
      <c r="B342" s="3"/>
      <c r="C342" s="3"/>
    </row>
    <row r="343" spans="1:3" x14ac:dyDescent="0.25">
      <c r="A343" s="3"/>
      <c r="B343" s="3"/>
      <c r="C343" s="3"/>
    </row>
    <row r="344" spans="1:3" x14ac:dyDescent="0.25">
      <c r="A344" s="3"/>
      <c r="B344" s="3"/>
      <c r="C344" s="3"/>
    </row>
    <row r="345" spans="1:3" x14ac:dyDescent="0.25">
      <c r="A345" s="3"/>
      <c r="B345" s="3"/>
      <c r="C345" s="3"/>
    </row>
    <row r="346" spans="1:3" x14ac:dyDescent="0.25">
      <c r="A346" s="3"/>
      <c r="B346" s="3"/>
      <c r="C346" s="3"/>
    </row>
    <row r="347" spans="1:3" x14ac:dyDescent="0.25">
      <c r="A347" s="3"/>
      <c r="B347" s="3"/>
      <c r="C347" s="3"/>
    </row>
    <row r="348" spans="1:3" x14ac:dyDescent="0.25">
      <c r="A348" s="3"/>
      <c r="B348" s="3"/>
      <c r="C348" s="3"/>
    </row>
    <row r="349" spans="1:3" x14ac:dyDescent="0.25">
      <c r="A349" s="3"/>
      <c r="B349" s="3"/>
      <c r="C349" s="3"/>
    </row>
    <row r="350" spans="1:3" x14ac:dyDescent="0.25">
      <c r="A350" s="3"/>
      <c r="B350" s="3"/>
      <c r="C350" s="3"/>
    </row>
    <row r="351" spans="1:3" x14ac:dyDescent="0.25">
      <c r="A351" s="3"/>
      <c r="B351" s="3"/>
      <c r="C351" s="3"/>
    </row>
    <row r="352" spans="1:3" x14ac:dyDescent="0.25">
      <c r="A352" s="3"/>
      <c r="B352" s="3"/>
      <c r="C352" s="3"/>
    </row>
    <row r="353" spans="1:3" x14ac:dyDescent="0.25">
      <c r="A353" s="3"/>
      <c r="B353" s="3"/>
      <c r="C353" s="3"/>
    </row>
    <row r="354" spans="1:3" x14ac:dyDescent="0.25">
      <c r="A354" s="3"/>
      <c r="B354" s="3"/>
      <c r="C354" s="3"/>
    </row>
    <row r="355" spans="1:3" x14ac:dyDescent="0.25">
      <c r="A355" s="3"/>
      <c r="B355" s="3"/>
      <c r="C355" s="3"/>
    </row>
    <row r="356" spans="1:3" x14ac:dyDescent="0.25">
      <c r="A356" s="3"/>
      <c r="B356" s="3"/>
      <c r="C356" s="3"/>
    </row>
    <row r="357" spans="1:3" x14ac:dyDescent="0.25">
      <c r="A357" s="3"/>
      <c r="B357" s="3"/>
      <c r="C357" s="3"/>
    </row>
    <row r="358" spans="1:3" x14ac:dyDescent="0.25">
      <c r="A358" s="3"/>
      <c r="B358" s="3"/>
      <c r="C358" s="3"/>
    </row>
    <row r="359" spans="1:3" x14ac:dyDescent="0.25">
      <c r="A359" s="3"/>
      <c r="B359" s="3"/>
      <c r="C359" s="3"/>
    </row>
    <row r="360" spans="1:3" x14ac:dyDescent="0.25">
      <c r="A360" s="3"/>
      <c r="B360" s="3"/>
      <c r="C360" s="3"/>
    </row>
    <row r="361" spans="1:3" x14ac:dyDescent="0.25">
      <c r="A361" s="3"/>
      <c r="B361" s="3"/>
      <c r="C361" s="3"/>
    </row>
    <row r="362" spans="1:3" x14ac:dyDescent="0.25">
      <c r="A362" s="3"/>
      <c r="B362" s="3"/>
      <c r="C362" s="3"/>
    </row>
    <row r="363" spans="1:3" x14ac:dyDescent="0.25">
      <c r="A363" s="3"/>
      <c r="B363" s="3"/>
      <c r="C363" s="3"/>
    </row>
    <row r="364" spans="1:3" x14ac:dyDescent="0.25">
      <c r="A364" s="3"/>
      <c r="B364" s="3"/>
      <c r="C364" s="3"/>
    </row>
    <row r="365" spans="1:3" x14ac:dyDescent="0.25">
      <c r="A365" s="3"/>
      <c r="B365" s="3"/>
      <c r="C365" s="3"/>
    </row>
    <row r="366" spans="1:3" x14ac:dyDescent="0.25">
      <c r="A366" s="3"/>
      <c r="B366" s="3"/>
      <c r="C366" s="3"/>
    </row>
    <row r="367" spans="1:3" x14ac:dyDescent="0.25">
      <c r="A367" s="3"/>
      <c r="B367" s="3"/>
      <c r="C367" s="3"/>
    </row>
    <row r="368" spans="1:3" x14ac:dyDescent="0.25">
      <c r="A368" s="3"/>
      <c r="B368" s="3"/>
      <c r="C368" s="3"/>
    </row>
    <row r="369" spans="1:3" x14ac:dyDescent="0.25">
      <c r="A369" s="3"/>
      <c r="B369" s="3"/>
      <c r="C369" s="3"/>
    </row>
    <row r="370" spans="1:3" x14ac:dyDescent="0.25">
      <c r="A370" s="3"/>
      <c r="B370" s="3"/>
      <c r="C370" s="3"/>
    </row>
    <row r="371" spans="1:3" x14ac:dyDescent="0.25">
      <c r="A371" s="3"/>
      <c r="B371" s="3"/>
      <c r="C371" s="3"/>
    </row>
    <row r="372" spans="1:3" x14ac:dyDescent="0.25">
      <c r="A372" s="3"/>
      <c r="B372" s="3"/>
      <c r="C372" s="3"/>
    </row>
    <row r="373" spans="1:3" x14ac:dyDescent="0.25">
      <c r="A373" s="3"/>
      <c r="B373" s="3"/>
      <c r="C373" s="3"/>
    </row>
    <row r="374" spans="1:3" x14ac:dyDescent="0.25">
      <c r="A374" s="3"/>
      <c r="B374" s="3"/>
      <c r="C374" s="3"/>
    </row>
    <row r="375" spans="1:3" x14ac:dyDescent="0.25">
      <c r="A375" s="3"/>
      <c r="B375" s="3"/>
      <c r="C375" s="3"/>
    </row>
    <row r="376" spans="1:3" x14ac:dyDescent="0.25">
      <c r="A376" s="3"/>
      <c r="B376" s="3"/>
      <c r="C376" s="3"/>
    </row>
    <row r="377" spans="1:3" x14ac:dyDescent="0.25">
      <c r="A377" s="3"/>
      <c r="B377" s="3"/>
      <c r="C377" s="3"/>
    </row>
    <row r="378" spans="1:3" x14ac:dyDescent="0.25">
      <c r="A378" s="3"/>
      <c r="B378" s="3"/>
      <c r="C378" s="3"/>
    </row>
    <row r="379" spans="1:3" x14ac:dyDescent="0.25">
      <c r="A379" s="3"/>
      <c r="B379" s="3"/>
      <c r="C379" s="3"/>
    </row>
    <row r="380" spans="1:3" x14ac:dyDescent="0.25">
      <c r="A380" s="3"/>
      <c r="B380" s="3"/>
      <c r="C380" s="3"/>
    </row>
    <row r="381" spans="1:3" x14ac:dyDescent="0.25">
      <c r="A381" s="3"/>
      <c r="B381" s="3"/>
      <c r="C381" s="3"/>
    </row>
    <row r="382" spans="1:3" x14ac:dyDescent="0.25">
      <c r="A382" s="3"/>
      <c r="B382" s="3"/>
      <c r="C382" s="3"/>
    </row>
    <row r="383" spans="1:3" x14ac:dyDescent="0.25">
      <c r="A383" s="3"/>
      <c r="B383" s="3"/>
      <c r="C383" s="3"/>
    </row>
    <row r="384" spans="1:3" x14ac:dyDescent="0.25">
      <c r="A384" s="3"/>
      <c r="B384" s="3"/>
      <c r="C384" s="3"/>
    </row>
    <row r="385" spans="1:3" x14ac:dyDescent="0.25">
      <c r="A385" s="3"/>
      <c r="B385" s="3"/>
      <c r="C385" s="3"/>
    </row>
    <row r="386" spans="1:3" x14ac:dyDescent="0.25">
      <c r="A386" s="3"/>
      <c r="B386" s="3"/>
      <c r="C386" s="3"/>
    </row>
    <row r="387" spans="1:3" x14ac:dyDescent="0.25">
      <c r="A387" s="3"/>
      <c r="B387" s="3"/>
      <c r="C387" s="3"/>
    </row>
    <row r="388" spans="1:3" x14ac:dyDescent="0.25">
      <c r="A388" s="3"/>
      <c r="B388" s="3"/>
      <c r="C388" s="3"/>
    </row>
    <row r="389" spans="1:3" x14ac:dyDescent="0.25">
      <c r="A389" s="3"/>
      <c r="B389" s="3"/>
      <c r="C389" s="3"/>
    </row>
    <row r="390" spans="1:3" x14ac:dyDescent="0.25">
      <c r="A390" s="3"/>
      <c r="B390" s="3"/>
      <c r="C390" s="3"/>
    </row>
    <row r="391" spans="1:3" x14ac:dyDescent="0.25">
      <c r="A391" s="3"/>
      <c r="B391" s="3"/>
      <c r="C391" s="3"/>
    </row>
    <row r="392" spans="1:3" x14ac:dyDescent="0.25">
      <c r="A392" s="3"/>
      <c r="B392" s="3"/>
      <c r="C392" s="3"/>
    </row>
    <row r="393" spans="1:3" x14ac:dyDescent="0.25">
      <c r="A393" s="3"/>
      <c r="B393" s="3"/>
      <c r="C393" s="3"/>
    </row>
    <row r="394" spans="1:3" x14ac:dyDescent="0.25">
      <c r="A394" s="3"/>
      <c r="B394" s="3"/>
      <c r="C394" s="3"/>
    </row>
    <row r="395" spans="1:3" x14ac:dyDescent="0.25">
      <c r="A395" s="3"/>
      <c r="B395" s="3"/>
      <c r="C395" s="3"/>
    </row>
    <row r="396" spans="1:3" x14ac:dyDescent="0.25">
      <c r="A396" s="3"/>
      <c r="B396" s="3"/>
      <c r="C396" s="3"/>
    </row>
    <row r="397" spans="1:3" x14ac:dyDescent="0.25">
      <c r="A397" s="3"/>
      <c r="B397" s="3"/>
      <c r="C397" s="3"/>
    </row>
    <row r="398" spans="1:3" x14ac:dyDescent="0.25">
      <c r="A398" s="3"/>
      <c r="B398" s="3"/>
      <c r="C398" s="3"/>
    </row>
    <row r="399" spans="1:3" x14ac:dyDescent="0.25">
      <c r="A399" s="3"/>
      <c r="B399" s="3"/>
      <c r="C399" s="3"/>
    </row>
    <row r="400" spans="1:3" x14ac:dyDescent="0.25">
      <c r="A400" s="3"/>
      <c r="B400" s="3"/>
      <c r="C400" s="3"/>
    </row>
    <row r="401" spans="1:3" x14ac:dyDescent="0.25">
      <c r="A401" s="3"/>
      <c r="B401" s="3"/>
      <c r="C401" s="3"/>
    </row>
    <row r="402" spans="1:3" x14ac:dyDescent="0.25">
      <c r="A402" s="3"/>
      <c r="B402" s="3"/>
      <c r="C402" s="3"/>
    </row>
    <row r="403" spans="1:3" x14ac:dyDescent="0.25">
      <c r="A403" s="3"/>
      <c r="B403" s="3"/>
      <c r="C403" s="3"/>
    </row>
    <row r="404" spans="1:3" x14ac:dyDescent="0.25">
      <c r="A404" s="3"/>
      <c r="B404" s="3"/>
      <c r="C404" s="3"/>
    </row>
    <row r="405" spans="1:3" x14ac:dyDescent="0.25">
      <c r="A405" s="3"/>
      <c r="B405" s="3"/>
      <c r="C405" s="3"/>
    </row>
    <row r="406" spans="1:3" x14ac:dyDescent="0.25">
      <c r="A406" s="3"/>
      <c r="B406" s="3"/>
      <c r="C406" s="3"/>
    </row>
    <row r="407" spans="1:3" x14ac:dyDescent="0.25">
      <c r="A407" s="3"/>
      <c r="B407" s="3"/>
      <c r="C407" s="3"/>
    </row>
    <row r="408" spans="1:3" x14ac:dyDescent="0.25">
      <c r="A408" s="3"/>
      <c r="B408" s="3"/>
      <c r="C408" s="3"/>
    </row>
    <row r="409" spans="1:3" x14ac:dyDescent="0.25">
      <c r="A409" s="3"/>
      <c r="B409" s="3"/>
      <c r="C409" s="3"/>
    </row>
    <row r="410" spans="1:3" x14ac:dyDescent="0.25">
      <c r="A410" s="3"/>
      <c r="B410" s="3"/>
      <c r="C410" s="3"/>
    </row>
    <row r="411" spans="1:3" x14ac:dyDescent="0.25">
      <c r="A411" s="3"/>
      <c r="B411" s="3"/>
      <c r="C411" s="3"/>
    </row>
    <row r="412" spans="1:3" x14ac:dyDescent="0.25">
      <c r="A412" s="3"/>
      <c r="B412" s="3"/>
      <c r="C412" s="3"/>
    </row>
    <row r="413" spans="1:3" x14ac:dyDescent="0.25">
      <c r="A413" s="3"/>
      <c r="B413" s="3"/>
      <c r="C413" s="3"/>
    </row>
    <row r="414" spans="1:3" x14ac:dyDescent="0.25">
      <c r="A414" s="3"/>
      <c r="B414" s="3"/>
      <c r="C414" s="3"/>
    </row>
    <row r="415" spans="1:3" x14ac:dyDescent="0.25">
      <c r="A415" s="3"/>
      <c r="B415" s="3"/>
      <c r="C415" s="3"/>
    </row>
    <row r="416" spans="1:3" x14ac:dyDescent="0.25">
      <c r="A416" s="3"/>
      <c r="B416" s="3"/>
      <c r="C416" s="3"/>
    </row>
    <row r="417" spans="1:3" x14ac:dyDescent="0.25">
      <c r="A417" s="3"/>
      <c r="B417" s="3"/>
      <c r="C417" s="3"/>
    </row>
    <row r="418" spans="1:3" x14ac:dyDescent="0.25">
      <c r="A418" s="3"/>
      <c r="B418" s="3"/>
      <c r="C418" s="3"/>
    </row>
    <row r="419" spans="1:3" x14ac:dyDescent="0.25">
      <c r="A419" s="3"/>
      <c r="B419" s="3"/>
      <c r="C419" s="3"/>
    </row>
    <row r="420" spans="1:3" x14ac:dyDescent="0.25">
      <c r="A420" s="3"/>
      <c r="B420" s="3"/>
      <c r="C420" s="3"/>
    </row>
    <row r="421" spans="1:3" x14ac:dyDescent="0.25">
      <c r="A421" s="3"/>
      <c r="B421" s="3"/>
      <c r="C421" s="3"/>
    </row>
    <row r="422" spans="1:3" x14ac:dyDescent="0.25">
      <c r="A422" s="3"/>
      <c r="B422" s="3"/>
      <c r="C422" s="3"/>
    </row>
    <row r="423" spans="1:3" x14ac:dyDescent="0.25">
      <c r="A423" s="3"/>
      <c r="B423" s="3"/>
      <c r="C423" s="3"/>
    </row>
    <row r="424" spans="1:3" x14ac:dyDescent="0.25">
      <c r="A424" s="3"/>
      <c r="B424" s="3"/>
      <c r="C424" s="3"/>
    </row>
    <row r="425" spans="1:3" x14ac:dyDescent="0.25">
      <c r="A425" s="3"/>
      <c r="B425" s="3"/>
      <c r="C425" s="3"/>
    </row>
    <row r="426" spans="1:3" x14ac:dyDescent="0.25">
      <c r="A426" s="3"/>
      <c r="B426" s="3"/>
      <c r="C426" s="3"/>
    </row>
    <row r="427" spans="1:3" x14ac:dyDescent="0.25">
      <c r="A427" s="3"/>
      <c r="B427" s="3"/>
      <c r="C427" s="3"/>
    </row>
    <row r="428" spans="1:3" x14ac:dyDescent="0.25">
      <c r="A428" s="3"/>
      <c r="B428" s="3"/>
      <c r="C428" s="3"/>
    </row>
    <row r="429" spans="1:3" x14ac:dyDescent="0.25">
      <c r="A429" s="3"/>
      <c r="B429" s="3"/>
      <c r="C429" s="3"/>
    </row>
    <row r="430" spans="1:3" x14ac:dyDescent="0.25">
      <c r="A430" s="3"/>
      <c r="B430" s="3"/>
      <c r="C430" s="3"/>
    </row>
    <row r="431" spans="1:3" x14ac:dyDescent="0.25">
      <c r="A431" s="3"/>
      <c r="B431" s="3"/>
      <c r="C431" s="3"/>
    </row>
    <row r="432" spans="1:3" x14ac:dyDescent="0.25">
      <c r="A432" s="3"/>
      <c r="B432" s="3"/>
      <c r="C432" s="3"/>
    </row>
    <row r="433" spans="1:3" x14ac:dyDescent="0.25">
      <c r="A433" s="3"/>
      <c r="B433" s="3"/>
      <c r="C433" s="3"/>
    </row>
    <row r="434" spans="1:3" x14ac:dyDescent="0.25">
      <c r="A434" s="3"/>
      <c r="B434" s="3"/>
      <c r="C434" s="3"/>
    </row>
    <row r="435" spans="1:3" x14ac:dyDescent="0.25">
      <c r="A435" s="3"/>
      <c r="B435" s="3"/>
      <c r="C435" s="3"/>
    </row>
    <row r="436" spans="1:3" x14ac:dyDescent="0.25">
      <c r="A436" s="3"/>
      <c r="B436" s="3"/>
      <c r="C436" s="3"/>
    </row>
    <row r="437" spans="1:3" x14ac:dyDescent="0.25">
      <c r="A437" s="3"/>
      <c r="B437" s="3"/>
      <c r="C437" s="3"/>
    </row>
    <row r="438" spans="1:3" x14ac:dyDescent="0.25">
      <c r="A438" s="3"/>
      <c r="B438" s="3"/>
      <c r="C438" s="3"/>
    </row>
    <row r="439" spans="1:3" x14ac:dyDescent="0.25">
      <c r="A439" s="3"/>
      <c r="B439" s="3"/>
      <c r="C439" s="3"/>
    </row>
    <row r="440" spans="1:3" x14ac:dyDescent="0.25">
      <c r="A440" s="3"/>
      <c r="B440" s="3"/>
      <c r="C440" s="3"/>
    </row>
    <row r="441" spans="1:3" x14ac:dyDescent="0.25">
      <c r="A441" s="3"/>
      <c r="B441" s="3"/>
      <c r="C441" s="3"/>
    </row>
    <row r="442" spans="1:3" x14ac:dyDescent="0.25">
      <c r="A442" s="3"/>
      <c r="B442" s="3"/>
      <c r="C442" s="3"/>
    </row>
    <row r="443" spans="1:3" x14ac:dyDescent="0.25">
      <c r="A443" s="3"/>
      <c r="B443" s="3"/>
      <c r="C443" s="3"/>
    </row>
    <row r="444" spans="1:3" x14ac:dyDescent="0.25">
      <c r="A444" s="3"/>
      <c r="B444" s="3"/>
      <c r="C444" s="3"/>
    </row>
    <row r="445" spans="1:3" x14ac:dyDescent="0.25">
      <c r="A445" s="3"/>
      <c r="B445" s="3"/>
      <c r="C445" s="3"/>
    </row>
    <row r="446" spans="1:3" x14ac:dyDescent="0.25">
      <c r="A446" s="3"/>
      <c r="B446" s="3"/>
      <c r="C446" s="3"/>
    </row>
    <row r="447" spans="1:3" x14ac:dyDescent="0.25">
      <c r="A447" s="3"/>
      <c r="B447" s="3"/>
      <c r="C447" s="3"/>
    </row>
    <row r="448" spans="1:3" x14ac:dyDescent="0.25">
      <c r="A448" s="3"/>
      <c r="B448" s="3"/>
      <c r="C448" s="3"/>
    </row>
    <row r="449" spans="1:3" x14ac:dyDescent="0.25">
      <c r="A449" s="3"/>
      <c r="B449" s="3"/>
      <c r="C449" s="3"/>
    </row>
    <row r="450" spans="1:3" x14ac:dyDescent="0.25">
      <c r="A450" s="3"/>
      <c r="B450" s="3"/>
      <c r="C450" s="3"/>
    </row>
    <row r="451" spans="1:3" x14ac:dyDescent="0.25">
      <c r="A451" s="3"/>
      <c r="B451" s="3"/>
      <c r="C451" s="3"/>
    </row>
    <row r="452" spans="1:3" x14ac:dyDescent="0.25">
      <c r="A452" s="3"/>
      <c r="B452" s="3"/>
      <c r="C452" s="3"/>
    </row>
    <row r="453" spans="1:3" x14ac:dyDescent="0.25">
      <c r="A453" s="3"/>
      <c r="B453" s="3"/>
      <c r="C453" s="3"/>
    </row>
    <row r="454" spans="1:3" x14ac:dyDescent="0.25">
      <c r="A454" s="3"/>
      <c r="B454" s="3"/>
      <c r="C454" s="3"/>
    </row>
    <row r="455" spans="1:3" x14ac:dyDescent="0.25">
      <c r="A455" s="3"/>
      <c r="B455" s="3"/>
      <c r="C455" s="3"/>
    </row>
    <row r="456" spans="1:3" x14ac:dyDescent="0.25">
      <c r="A456" s="3"/>
      <c r="B456" s="3"/>
      <c r="C456" s="3"/>
    </row>
    <row r="457" spans="1:3" x14ac:dyDescent="0.25">
      <c r="A457" s="3"/>
      <c r="B457" s="3"/>
      <c r="C457" s="3"/>
    </row>
    <row r="458" spans="1:3" x14ac:dyDescent="0.25">
      <c r="A458" s="3"/>
      <c r="B458" s="3"/>
      <c r="C458" s="3"/>
    </row>
    <row r="459" spans="1:3" x14ac:dyDescent="0.25">
      <c r="A459" s="3"/>
      <c r="B459" s="3"/>
      <c r="C459" s="3"/>
    </row>
    <row r="460" spans="1:3" x14ac:dyDescent="0.25">
      <c r="A460" s="3"/>
      <c r="B460" s="3"/>
      <c r="C460" s="3"/>
    </row>
    <row r="461" spans="1:3" x14ac:dyDescent="0.25">
      <c r="A461" s="3"/>
      <c r="B461" s="3"/>
      <c r="C461" s="3"/>
    </row>
    <row r="462" spans="1:3" x14ac:dyDescent="0.25">
      <c r="A462" s="3"/>
      <c r="B462" s="3"/>
      <c r="C462" s="3"/>
    </row>
    <row r="463" spans="1:3" x14ac:dyDescent="0.25">
      <c r="A463" s="3"/>
      <c r="B463" s="3"/>
      <c r="C463" s="3"/>
    </row>
    <row r="464" spans="1:3" x14ac:dyDescent="0.25">
      <c r="A464" s="3"/>
      <c r="B464" s="3"/>
      <c r="C464" s="3"/>
    </row>
    <row r="465" spans="1:3" x14ac:dyDescent="0.25">
      <c r="A465" s="3"/>
      <c r="B465" s="3"/>
      <c r="C465" s="3"/>
    </row>
    <row r="466" spans="1:3" x14ac:dyDescent="0.25">
      <c r="A466" s="3"/>
      <c r="B466" s="3"/>
      <c r="C466" s="3"/>
    </row>
    <row r="467" spans="1:3" x14ac:dyDescent="0.25">
      <c r="A467" s="3"/>
      <c r="B467" s="3"/>
      <c r="C467" s="3"/>
    </row>
    <row r="468" spans="1:3" x14ac:dyDescent="0.25">
      <c r="A468" s="3"/>
      <c r="B468" s="3"/>
      <c r="C468" s="3"/>
    </row>
    <row r="469" spans="1:3" x14ac:dyDescent="0.25">
      <c r="A469" s="3"/>
      <c r="B469" s="3"/>
      <c r="C469" s="3"/>
    </row>
    <row r="470" spans="1:3" x14ac:dyDescent="0.25">
      <c r="A470" s="3"/>
      <c r="B470" s="3"/>
      <c r="C470" s="3"/>
    </row>
    <row r="471" spans="1:3" x14ac:dyDescent="0.25">
      <c r="A471" s="3"/>
      <c r="B471" s="3"/>
      <c r="C471" s="3"/>
    </row>
    <row r="472" spans="1:3" x14ac:dyDescent="0.25">
      <c r="A472" s="3"/>
      <c r="B472" s="3"/>
      <c r="C472" s="3"/>
    </row>
  </sheetData>
  <pageMargins left="0.51181102362204722" right="0.31496062992125984" top="0.19685039370078741" bottom="0.19685039370078741" header="0.11811023622047245" footer="0.11811023622047245"/>
  <pageSetup paperSize="8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2018</vt:lpstr>
      <vt:lpstr>'2018'!Názvy_tisku</vt:lpstr>
    </vt:vector>
  </TitlesOfParts>
  <Company>MSMT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Ventluka Petr</dc:creator>
  <cp:lastModifiedBy>Špičková Hana</cp:lastModifiedBy>
  <cp:lastPrinted>2017-03-20T14:18:40Z</cp:lastPrinted>
  <dcterms:created xsi:type="dcterms:W3CDTF">2015-01-12T12:29:19Z</dcterms:created>
  <dcterms:modified xsi:type="dcterms:W3CDTF">2017-03-27T14:42:54Z</dcterms:modified>
</cp:coreProperties>
</file>