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export\"/>
    </mc:Choice>
  </mc:AlternateContent>
  <bookViews>
    <workbookView xWindow="0" yWindow="0" windowWidth="21600" windowHeight="9075" xr2:uid="{00000000-000D-0000-FFFF-FFFF00000000}"/>
  </bookViews>
  <sheets>
    <sheet name="VO_celkem" sheetId="1" r:id="rId1"/>
    <sheet name="VO_součásti" sheetId="2" r:id="rId2"/>
  </sheets>
  <calcPr calcId="171027"/>
</workbook>
</file>

<file path=xl/calcChain.xml><?xml version="1.0" encoding="utf-8"?>
<calcChain xmlns="http://schemas.openxmlformats.org/spreadsheetml/2006/main">
  <c r="B206" i="1" l="1"/>
  <c r="U567" i="2"/>
  <c r="B567" i="2"/>
  <c r="U566" i="2"/>
  <c r="B566" i="2"/>
  <c r="U565" i="2"/>
  <c r="B565" i="2"/>
  <c r="U564" i="2"/>
  <c r="B564" i="2"/>
  <c r="U563" i="2"/>
  <c r="B563" i="2"/>
  <c r="U562" i="2"/>
  <c r="B562" i="2"/>
  <c r="U561" i="2"/>
  <c r="B561" i="2"/>
  <c r="U560" i="2"/>
  <c r="B560" i="2"/>
  <c r="U559" i="2"/>
  <c r="B559" i="2"/>
  <c r="U558" i="2"/>
  <c r="B558" i="2"/>
  <c r="U557" i="2"/>
  <c r="B557" i="2"/>
  <c r="U556" i="2"/>
  <c r="B556" i="2"/>
  <c r="U555" i="2"/>
  <c r="B555" i="2"/>
  <c r="U554" i="2"/>
  <c r="B554" i="2"/>
  <c r="U553" i="2"/>
  <c r="B553" i="2"/>
  <c r="U552" i="2"/>
  <c r="B552" i="2"/>
  <c r="U551" i="2"/>
  <c r="B551" i="2"/>
  <c r="U550" i="2"/>
  <c r="B550" i="2"/>
  <c r="U549" i="2"/>
  <c r="B549" i="2"/>
  <c r="U548" i="2"/>
  <c r="B548" i="2"/>
  <c r="U547" i="2"/>
  <c r="B547" i="2"/>
  <c r="U546" i="2"/>
  <c r="B546" i="2"/>
  <c r="U545" i="2"/>
  <c r="B545" i="2"/>
  <c r="U544" i="2"/>
  <c r="B544" i="2"/>
  <c r="U543" i="2"/>
  <c r="B543" i="2"/>
  <c r="U542" i="2"/>
  <c r="B542" i="2"/>
  <c r="U541" i="2"/>
  <c r="B541" i="2"/>
  <c r="U540" i="2"/>
  <c r="B540" i="2"/>
  <c r="U539" i="2"/>
  <c r="B539" i="2"/>
  <c r="U538" i="2"/>
  <c r="B538" i="2"/>
  <c r="U537" i="2"/>
  <c r="B537" i="2"/>
  <c r="U536" i="2"/>
  <c r="B536" i="2"/>
  <c r="U535" i="2"/>
  <c r="B535" i="2"/>
  <c r="U534" i="2"/>
  <c r="B534" i="2"/>
  <c r="U533" i="2"/>
  <c r="B533" i="2"/>
  <c r="U532" i="2"/>
  <c r="B532" i="2"/>
  <c r="U531" i="2"/>
  <c r="B531" i="2"/>
  <c r="U530" i="2"/>
  <c r="B530" i="2"/>
  <c r="U529" i="2"/>
  <c r="B529" i="2"/>
  <c r="U528" i="2"/>
  <c r="B528" i="2"/>
  <c r="U527" i="2"/>
  <c r="B527" i="2"/>
  <c r="U526" i="2"/>
  <c r="B526" i="2"/>
  <c r="U525" i="2"/>
  <c r="B525" i="2"/>
  <c r="U524" i="2"/>
  <c r="B524" i="2"/>
  <c r="U523" i="2"/>
  <c r="B523" i="2"/>
  <c r="U522" i="2"/>
  <c r="B522" i="2"/>
  <c r="U521" i="2"/>
  <c r="B521" i="2"/>
  <c r="U520" i="2"/>
  <c r="B520" i="2"/>
  <c r="U519" i="2"/>
  <c r="B519" i="2"/>
  <c r="U518" i="2"/>
  <c r="B518" i="2"/>
  <c r="U517" i="2"/>
  <c r="B517" i="2"/>
  <c r="U516" i="2"/>
  <c r="B516" i="2"/>
  <c r="U515" i="2"/>
  <c r="B515" i="2"/>
  <c r="U514" i="2"/>
  <c r="B514" i="2"/>
  <c r="U513" i="2"/>
  <c r="B513" i="2"/>
  <c r="U512" i="2"/>
  <c r="B512" i="2"/>
  <c r="U511" i="2"/>
  <c r="B511" i="2"/>
  <c r="U510" i="2"/>
  <c r="B510" i="2"/>
  <c r="U509" i="2"/>
  <c r="B509" i="2"/>
  <c r="U508" i="2"/>
  <c r="B508" i="2"/>
  <c r="U507" i="2"/>
  <c r="B507" i="2"/>
  <c r="U506" i="2"/>
  <c r="B506" i="2"/>
  <c r="U505" i="2"/>
  <c r="B505" i="2"/>
  <c r="U504" i="2"/>
  <c r="B504" i="2"/>
  <c r="U503" i="2"/>
  <c r="B503" i="2"/>
  <c r="U502" i="2"/>
  <c r="B502" i="2"/>
  <c r="U501" i="2"/>
  <c r="B501" i="2"/>
  <c r="U500" i="2"/>
  <c r="B500" i="2"/>
  <c r="U499" i="2"/>
  <c r="B499" i="2"/>
  <c r="U498" i="2"/>
  <c r="B498" i="2"/>
  <c r="U497" i="2"/>
  <c r="B497" i="2"/>
  <c r="U496" i="2"/>
  <c r="B496" i="2"/>
  <c r="U495" i="2"/>
  <c r="B495" i="2"/>
  <c r="U494" i="2"/>
  <c r="B494" i="2"/>
  <c r="U493" i="2"/>
  <c r="B493" i="2"/>
  <c r="U492" i="2"/>
  <c r="B492" i="2"/>
  <c r="U491" i="2"/>
  <c r="B491" i="2"/>
  <c r="U490" i="2"/>
  <c r="B490" i="2"/>
  <c r="U489" i="2"/>
  <c r="B489" i="2"/>
  <c r="U488" i="2"/>
  <c r="B488" i="2"/>
  <c r="U487" i="2"/>
  <c r="B487" i="2"/>
  <c r="U486" i="2"/>
  <c r="B486" i="2"/>
  <c r="U484" i="2"/>
  <c r="B484" i="2"/>
  <c r="U483" i="2"/>
  <c r="B483" i="2"/>
  <c r="U482" i="2"/>
  <c r="B482" i="2"/>
  <c r="U481" i="2"/>
  <c r="B481" i="2"/>
  <c r="U480" i="2"/>
  <c r="B480" i="2"/>
  <c r="U479" i="2"/>
  <c r="B479" i="2"/>
  <c r="U478" i="2"/>
  <c r="B478" i="2"/>
  <c r="U477" i="2"/>
  <c r="B477" i="2"/>
  <c r="U476" i="2"/>
  <c r="B476" i="2"/>
  <c r="U475" i="2"/>
  <c r="B475" i="2"/>
  <c r="U474" i="2"/>
  <c r="B474" i="2"/>
  <c r="U473" i="2"/>
  <c r="B473" i="2"/>
  <c r="U472" i="2"/>
  <c r="B472" i="2"/>
  <c r="U471" i="2"/>
  <c r="B471" i="2"/>
  <c r="U470" i="2"/>
  <c r="B470" i="2"/>
  <c r="U469" i="2"/>
  <c r="B469" i="2"/>
  <c r="U468" i="2"/>
  <c r="B468" i="2"/>
  <c r="U467" i="2"/>
  <c r="B467" i="2"/>
  <c r="U466" i="2"/>
  <c r="B466" i="2"/>
  <c r="U465" i="2"/>
  <c r="B465" i="2"/>
  <c r="U464" i="2"/>
  <c r="B464" i="2"/>
  <c r="U463" i="2"/>
  <c r="B463" i="2"/>
  <c r="U462" i="2"/>
  <c r="B462" i="2"/>
  <c r="U461" i="2"/>
  <c r="B461" i="2"/>
  <c r="U460" i="2"/>
  <c r="B460" i="2"/>
  <c r="U459" i="2"/>
  <c r="B459" i="2"/>
  <c r="U458" i="2"/>
  <c r="B458" i="2"/>
  <c r="U457" i="2"/>
  <c r="B457" i="2"/>
  <c r="U456" i="2"/>
  <c r="B456" i="2"/>
  <c r="U455" i="2"/>
  <c r="B455" i="2"/>
  <c r="U454" i="2"/>
  <c r="B454" i="2"/>
  <c r="U453" i="2"/>
  <c r="B453" i="2"/>
  <c r="U452" i="2"/>
  <c r="B452" i="2"/>
  <c r="U451" i="2"/>
  <c r="B451" i="2"/>
  <c r="U450" i="2"/>
  <c r="B450" i="2"/>
  <c r="U449" i="2"/>
  <c r="B449" i="2"/>
  <c r="U448" i="2"/>
  <c r="B448" i="2"/>
  <c r="U447" i="2"/>
  <c r="B447" i="2"/>
  <c r="U446" i="2"/>
  <c r="B446" i="2"/>
  <c r="U445" i="2"/>
  <c r="B445" i="2"/>
  <c r="U444" i="2"/>
  <c r="B444" i="2"/>
  <c r="U443" i="2"/>
  <c r="B443" i="2"/>
  <c r="U442" i="2"/>
  <c r="B442" i="2"/>
  <c r="U441" i="2"/>
  <c r="B441" i="2"/>
  <c r="U440" i="2"/>
  <c r="B440" i="2"/>
  <c r="U439" i="2"/>
  <c r="B439" i="2"/>
  <c r="U438" i="2"/>
  <c r="B438" i="2"/>
  <c r="U437" i="2"/>
  <c r="B437" i="2"/>
  <c r="U436" i="2"/>
  <c r="B436" i="2"/>
  <c r="U435" i="2"/>
  <c r="B435" i="2"/>
  <c r="U434" i="2"/>
  <c r="B434" i="2"/>
  <c r="U433" i="2"/>
  <c r="B433" i="2"/>
  <c r="U432" i="2"/>
  <c r="B432" i="2"/>
  <c r="U431" i="2"/>
  <c r="B431" i="2"/>
  <c r="U430" i="2"/>
  <c r="B430" i="2"/>
  <c r="U429" i="2"/>
  <c r="B429" i="2"/>
  <c r="U428" i="2"/>
  <c r="B428" i="2"/>
  <c r="U427" i="2"/>
  <c r="B427" i="2"/>
  <c r="U426" i="2"/>
  <c r="B426" i="2"/>
  <c r="U425" i="2"/>
  <c r="B425" i="2"/>
  <c r="U424" i="2"/>
  <c r="B424" i="2"/>
  <c r="U423" i="2"/>
  <c r="B423" i="2"/>
  <c r="U422" i="2"/>
  <c r="B422" i="2"/>
  <c r="U421" i="2"/>
  <c r="B421" i="2"/>
  <c r="U420" i="2"/>
  <c r="B420" i="2"/>
  <c r="U419" i="2"/>
  <c r="B419" i="2"/>
  <c r="U418" i="2"/>
  <c r="B418" i="2"/>
  <c r="U417" i="2"/>
  <c r="B417" i="2"/>
  <c r="U416" i="2"/>
  <c r="B416" i="2"/>
  <c r="U415" i="2"/>
  <c r="B415" i="2"/>
  <c r="U414" i="2"/>
  <c r="B414" i="2"/>
  <c r="U413" i="2"/>
  <c r="B413" i="2"/>
  <c r="U412" i="2"/>
  <c r="B412" i="2"/>
  <c r="U411" i="2"/>
  <c r="B411" i="2"/>
  <c r="U410" i="2"/>
  <c r="B410" i="2"/>
  <c r="U409" i="2"/>
  <c r="B409" i="2"/>
  <c r="U408" i="2"/>
  <c r="B408" i="2"/>
  <c r="U407" i="2"/>
  <c r="B407" i="2"/>
  <c r="U406" i="2"/>
  <c r="B406" i="2"/>
  <c r="U405" i="2"/>
  <c r="B405" i="2"/>
  <c r="U404" i="2"/>
  <c r="B404" i="2"/>
  <c r="U403" i="2"/>
  <c r="B403" i="2"/>
  <c r="U402" i="2"/>
  <c r="B402" i="2"/>
  <c r="U401" i="2"/>
  <c r="B401" i="2"/>
  <c r="U400" i="2"/>
  <c r="B400" i="2"/>
  <c r="U399" i="2"/>
  <c r="B399" i="2"/>
  <c r="U398" i="2"/>
  <c r="B398" i="2"/>
  <c r="U397" i="2"/>
  <c r="B397" i="2"/>
  <c r="U396" i="2"/>
  <c r="B396" i="2"/>
  <c r="U395" i="2"/>
  <c r="B395" i="2"/>
  <c r="U394" i="2"/>
  <c r="B394" i="2"/>
  <c r="U393" i="2"/>
  <c r="B393" i="2"/>
  <c r="U392" i="2"/>
  <c r="B392" i="2"/>
  <c r="U391" i="2"/>
  <c r="B391" i="2"/>
  <c r="U390" i="2"/>
  <c r="B390" i="2"/>
  <c r="U389" i="2"/>
  <c r="B389" i="2"/>
  <c r="U388" i="2"/>
  <c r="B388" i="2"/>
  <c r="U387" i="2"/>
  <c r="B387" i="2"/>
  <c r="U386" i="2"/>
  <c r="B386" i="2"/>
  <c r="U385" i="2"/>
  <c r="B385" i="2"/>
  <c r="U384" i="2"/>
  <c r="B384" i="2"/>
  <c r="U383" i="2"/>
  <c r="B383" i="2"/>
  <c r="U382" i="2"/>
  <c r="B382" i="2"/>
  <c r="U381" i="2"/>
  <c r="B381" i="2"/>
  <c r="U380" i="2"/>
  <c r="B380" i="2"/>
  <c r="U379" i="2"/>
  <c r="B379" i="2"/>
  <c r="U378" i="2"/>
  <c r="B378" i="2"/>
  <c r="U377" i="2"/>
  <c r="B377" i="2"/>
  <c r="U376" i="2"/>
  <c r="B376" i="2"/>
  <c r="U375" i="2"/>
  <c r="B375" i="2"/>
  <c r="U374" i="2"/>
  <c r="B374" i="2"/>
  <c r="U373" i="2"/>
  <c r="B373" i="2"/>
  <c r="U372" i="2"/>
  <c r="B372" i="2"/>
  <c r="U371" i="2"/>
  <c r="B371" i="2"/>
  <c r="U370" i="2"/>
  <c r="B370" i="2"/>
  <c r="U369" i="2"/>
  <c r="B369" i="2"/>
  <c r="U368" i="2"/>
  <c r="B368" i="2"/>
  <c r="U367" i="2"/>
  <c r="B367" i="2"/>
  <c r="U366" i="2"/>
  <c r="B366" i="2"/>
  <c r="U365" i="2"/>
  <c r="B365" i="2"/>
  <c r="U364" i="2"/>
  <c r="B364" i="2"/>
  <c r="U363" i="2"/>
  <c r="B363" i="2"/>
  <c r="U362" i="2"/>
  <c r="B362" i="2"/>
  <c r="U361" i="2"/>
  <c r="B361" i="2"/>
  <c r="U360" i="2"/>
  <c r="B360" i="2"/>
  <c r="U359" i="2"/>
  <c r="B359" i="2"/>
  <c r="U358" i="2"/>
  <c r="B358" i="2"/>
  <c r="U357" i="2"/>
  <c r="B357" i="2"/>
  <c r="U356" i="2"/>
  <c r="B356" i="2"/>
  <c r="U355" i="2"/>
  <c r="B355" i="2"/>
  <c r="U354" i="2"/>
  <c r="B354" i="2"/>
  <c r="U353" i="2"/>
  <c r="B353" i="2"/>
  <c r="U352" i="2"/>
  <c r="B352" i="2"/>
  <c r="U351" i="2"/>
  <c r="B351" i="2"/>
  <c r="U350" i="2"/>
  <c r="B350" i="2"/>
  <c r="U349" i="2"/>
  <c r="B349" i="2"/>
  <c r="U348" i="2"/>
  <c r="B348" i="2"/>
  <c r="U347" i="2"/>
  <c r="B347" i="2"/>
  <c r="U346" i="2"/>
  <c r="B346" i="2"/>
  <c r="U345" i="2"/>
  <c r="B345" i="2"/>
  <c r="U344" i="2"/>
  <c r="B344" i="2"/>
  <c r="U343" i="2"/>
  <c r="B343" i="2"/>
  <c r="U342" i="2"/>
  <c r="B342" i="2"/>
  <c r="U341" i="2"/>
  <c r="B341" i="2"/>
  <c r="U340" i="2"/>
  <c r="B340" i="2"/>
  <c r="U339" i="2"/>
  <c r="B339" i="2"/>
  <c r="U338" i="2"/>
  <c r="B338" i="2"/>
  <c r="U337" i="2"/>
  <c r="B337" i="2"/>
  <c r="U336" i="2"/>
  <c r="B336" i="2"/>
  <c r="U335" i="2"/>
  <c r="B335" i="2"/>
  <c r="U334" i="2"/>
  <c r="B334" i="2"/>
  <c r="U333" i="2"/>
  <c r="B333" i="2"/>
  <c r="U332" i="2"/>
  <c r="B332" i="2"/>
  <c r="U331" i="2"/>
  <c r="B331" i="2"/>
  <c r="U330" i="2"/>
  <c r="B330" i="2"/>
  <c r="U329" i="2"/>
  <c r="B329" i="2"/>
  <c r="U328" i="2"/>
  <c r="B328" i="2"/>
  <c r="U327" i="2"/>
  <c r="B327" i="2"/>
  <c r="U326" i="2"/>
  <c r="B326" i="2"/>
  <c r="U325" i="2"/>
  <c r="B325" i="2"/>
  <c r="U324" i="2"/>
  <c r="B324" i="2"/>
  <c r="U323" i="2"/>
  <c r="B323" i="2"/>
  <c r="U322" i="2"/>
  <c r="B322" i="2"/>
  <c r="U321" i="2"/>
  <c r="B321" i="2"/>
  <c r="U320" i="2"/>
  <c r="B320" i="2"/>
  <c r="U319" i="2"/>
  <c r="B319" i="2"/>
  <c r="U318" i="2"/>
  <c r="B318" i="2"/>
  <c r="U317" i="2"/>
  <c r="B317" i="2"/>
  <c r="U316" i="2"/>
  <c r="B316" i="2"/>
  <c r="U315" i="2"/>
  <c r="B315" i="2"/>
  <c r="U314" i="2"/>
  <c r="B314" i="2"/>
  <c r="U313" i="2"/>
  <c r="B313" i="2"/>
  <c r="U312" i="2"/>
  <c r="B312" i="2"/>
  <c r="U311" i="2"/>
  <c r="B311" i="2"/>
  <c r="U310" i="2"/>
  <c r="B310" i="2"/>
  <c r="U309" i="2"/>
  <c r="B309" i="2"/>
  <c r="U308" i="2"/>
  <c r="B308" i="2"/>
  <c r="U307" i="2"/>
  <c r="B307" i="2"/>
  <c r="U306" i="2"/>
  <c r="B306" i="2"/>
  <c r="U305" i="2"/>
  <c r="B305" i="2"/>
  <c r="U304" i="2"/>
  <c r="B304" i="2"/>
  <c r="U303" i="2"/>
  <c r="B303" i="2"/>
  <c r="U302" i="2"/>
  <c r="B302" i="2"/>
  <c r="U301" i="2"/>
  <c r="B301" i="2"/>
  <c r="U300" i="2"/>
  <c r="B300" i="2"/>
  <c r="U299" i="2"/>
  <c r="B299" i="2"/>
  <c r="U298" i="2"/>
  <c r="B298" i="2"/>
  <c r="U297" i="2"/>
  <c r="B297" i="2"/>
  <c r="U296" i="2"/>
  <c r="B296" i="2"/>
  <c r="U295" i="2"/>
  <c r="B295" i="2"/>
  <c r="U294" i="2"/>
  <c r="B294" i="2"/>
  <c r="U293" i="2"/>
  <c r="B293" i="2"/>
  <c r="U292" i="2"/>
  <c r="B292" i="2"/>
  <c r="U291" i="2"/>
  <c r="B291" i="2"/>
  <c r="U290" i="2"/>
  <c r="B290" i="2"/>
  <c r="U289" i="2"/>
  <c r="B289" i="2"/>
  <c r="U288" i="2"/>
  <c r="B288" i="2"/>
  <c r="U287" i="2"/>
  <c r="B287" i="2"/>
  <c r="U286" i="2"/>
  <c r="B286" i="2"/>
  <c r="U285" i="2"/>
  <c r="B285" i="2"/>
  <c r="U284" i="2"/>
  <c r="B284" i="2"/>
  <c r="U283" i="2"/>
  <c r="B283" i="2"/>
  <c r="U282" i="2"/>
  <c r="B282" i="2"/>
  <c r="U281" i="2"/>
  <c r="B281" i="2"/>
  <c r="U280" i="2"/>
  <c r="B280" i="2"/>
  <c r="U279" i="2"/>
  <c r="B279" i="2"/>
  <c r="U278" i="2"/>
  <c r="B278" i="2"/>
  <c r="U277" i="2"/>
  <c r="B277" i="2"/>
  <c r="U276" i="2"/>
  <c r="B276" i="2"/>
  <c r="U275" i="2"/>
  <c r="B275" i="2"/>
  <c r="U274" i="2"/>
  <c r="B274" i="2"/>
  <c r="U273" i="2"/>
  <c r="B273" i="2"/>
  <c r="U272" i="2"/>
  <c r="B272" i="2"/>
  <c r="U271" i="2"/>
  <c r="B271" i="2"/>
  <c r="U270" i="2"/>
  <c r="B270" i="2"/>
  <c r="U269" i="2"/>
  <c r="B269" i="2"/>
  <c r="U268" i="2"/>
  <c r="B268" i="2"/>
  <c r="U267" i="2"/>
  <c r="B267" i="2"/>
  <c r="U266" i="2"/>
  <c r="B266" i="2"/>
  <c r="U265" i="2"/>
  <c r="B265" i="2"/>
  <c r="U264" i="2"/>
  <c r="B264" i="2"/>
  <c r="U263" i="2"/>
  <c r="B263" i="2"/>
  <c r="U262" i="2"/>
  <c r="B262" i="2"/>
  <c r="U261" i="2"/>
  <c r="B261" i="2"/>
  <c r="U260" i="2"/>
  <c r="B260" i="2"/>
  <c r="U259" i="2"/>
  <c r="B259" i="2"/>
  <c r="U258" i="2"/>
  <c r="B258" i="2"/>
  <c r="U257" i="2"/>
  <c r="B257" i="2"/>
  <c r="U256" i="2"/>
  <c r="B256" i="2"/>
  <c r="U255" i="2"/>
  <c r="B255" i="2"/>
  <c r="U254" i="2"/>
  <c r="B254" i="2"/>
  <c r="U253" i="2"/>
  <c r="B253" i="2"/>
  <c r="U252" i="2"/>
  <c r="B252" i="2"/>
  <c r="U251" i="2"/>
  <c r="B251" i="2"/>
  <c r="U250" i="2"/>
  <c r="B250" i="2"/>
  <c r="U249" i="2"/>
  <c r="B249" i="2"/>
  <c r="U248" i="2"/>
  <c r="B248" i="2"/>
  <c r="U247" i="2"/>
  <c r="B247" i="2"/>
  <c r="U246" i="2"/>
  <c r="B246" i="2"/>
  <c r="U245" i="2"/>
  <c r="B245" i="2"/>
  <c r="U244" i="2"/>
  <c r="B244" i="2"/>
  <c r="U243" i="2"/>
  <c r="B243" i="2"/>
  <c r="U242" i="2"/>
  <c r="B242" i="2"/>
  <c r="U241" i="2"/>
  <c r="B241" i="2"/>
  <c r="U240" i="2"/>
  <c r="B240" i="2"/>
  <c r="U239" i="2"/>
  <c r="B239" i="2"/>
  <c r="U238" i="2"/>
  <c r="B238" i="2"/>
  <c r="U237" i="2"/>
  <c r="B237" i="2"/>
  <c r="U236" i="2"/>
  <c r="B236" i="2"/>
  <c r="U235" i="2"/>
  <c r="B235" i="2"/>
  <c r="U234" i="2"/>
  <c r="B234" i="2"/>
  <c r="U233" i="2"/>
  <c r="B233" i="2"/>
  <c r="U232" i="2"/>
  <c r="B232" i="2"/>
  <c r="U231" i="2"/>
  <c r="B231" i="2"/>
  <c r="U230" i="2"/>
  <c r="B230" i="2"/>
  <c r="U229" i="2"/>
  <c r="B229" i="2"/>
  <c r="U228" i="2"/>
  <c r="B228" i="2"/>
  <c r="U227" i="2"/>
  <c r="B227" i="2"/>
  <c r="U226" i="2"/>
  <c r="B226" i="2"/>
  <c r="U225" i="2"/>
  <c r="B225" i="2"/>
  <c r="U224" i="2"/>
  <c r="B224" i="2"/>
  <c r="U223" i="2"/>
  <c r="B223" i="2"/>
  <c r="U222" i="2"/>
  <c r="B222" i="2"/>
  <c r="U221" i="2"/>
  <c r="B221" i="2"/>
  <c r="U220" i="2"/>
  <c r="B220" i="2"/>
  <c r="U219" i="2"/>
  <c r="B219" i="2"/>
  <c r="U218" i="2"/>
  <c r="B218" i="2"/>
  <c r="U217" i="2"/>
  <c r="B217" i="2"/>
  <c r="U216" i="2"/>
  <c r="B216" i="2"/>
  <c r="U215" i="2"/>
  <c r="B215" i="2"/>
  <c r="U214" i="2"/>
  <c r="B214" i="2"/>
  <c r="U213" i="2"/>
  <c r="B213" i="2"/>
  <c r="U212" i="2"/>
  <c r="B212" i="2"/>
  <c r="U211" i="2"/>
  <c r="B211" i="2"/>
  <c r="U210" i="2"/>
  <c r="B210" i="2"/>
  <c r="U209" i="2"/>
  <c r="B209" i="2"/>
  <c r="U208" i="2"/>
  <c r="B208" i="2"/>
  <c r="U207" i="2"/>
  <c r="B207" i="2"/>
  <c r="U206" i="2"/>
  <c r="B206" i="2"/>
  <c r="U205" i="2"/>
  <c r="B205" i="2"/>
  <c r="U204" i="2"/>
  <c r="B204" i="2"/>
  <c r="U203" i="2"/>
  <c r="B203" i="2"/>
  <c r="U202" i="2"/>
  <c r="B202" i="2"/>
  <c r="U201" i="2"/>
  <c r="B201" i="2"/>
  <c r="U200" i="2"/>
  <c r="B200" i="2"/>
  <c r="U199" i="2"/>
  <c r="B199" i="2"/>
  <c r="U198" i="2"/>
  <c r="B198" i="2"/>
  <c r="U197" i="2"/>
  <c r="B197" i="2"/>
  <c r="U196" i="2"/>
  <c r="B196" i="2"/>
  <c r="U195" i="2"/>
  <c r="B195" i="2"/>
  <c r="U194" i="2"/>
  <c r="B194" i="2"/>
  <c r="U193" i="2"/>
  <c r="B193" i="2"/>
  <c r="U192" i="2"/>
  <c r="B192" i="2"/>
  <c r="U191" i="2"/>
  <c r="B191" i="2"/>
  <c r="U190" i="2"/>
  <c r="B190" i="2"/>
  <c r="U189" i="2"/>
  <c r="B189" i="2"/>
  <c r="U188" i="2"/>
  <c r="B188" i="2"/>
  <c r="U187" i="2"/>
  <c r="B187" i="2"/>
  <c r="U186" i="2"/>
  <c r="B186" i="2"/>
  <c r="U185" i="2"/>
  <c r="B185" i="2"/>
  <c r="U184" i="2"/>
  <c r="B184" i="2"/>
  <c r="U183" i="2"/>
  <c r="B183" i="2"/>
  <c r="U182" i="2"/>
  <c r="B182" i="2"/>
  <c r="U181" i="2"/>
  <c r="B181" i="2"/>
  <c r="U180" i="2"/>
  <c r="B180" i="2"/>
  <c r="U179" i="2"/>
  <c r="B179" i="2"/>
  <c r="U178" i="2"/>
  <c r="B178" i="2"/>
  <c r="U177" i="2"/>
  <c r="B177" i="2"/>
  <c r="U176" i="2"/>
  <c r="B176" i="2"/>
  <c r="U175" i="2"/>
  <c r="B175" i="2"/>
  <c r="U174" i="2"/>
  <c r="B174" i="2"/>
  <c r="U173" i="2"/>
  <c r="B173" i="2"/>
  <c r="U172" i="2"/>
  <c r="B172" i="2"/>
  <c r="U171" i="2"/>
  <c r="B171" i="2"/>
  <c r="U170" i="2"/>
  <c r="B170" i="2"/>
  <c r="U169" i="2"/>
  <c r="B169" i="2"/>
  <c r="U168" i="2"/>
  <c r="B168" i="2"/>
  <c r="U167" i="2"/>
  <c r="B167" i="2"/>
  <c r="U166" i="2"/>
  <c r="B166" i="2"/>
  <c r="U165" i="2"/>
  <c r="B165" i="2"/>
  <c r="U164" i="2"/>
  <c r="B164" i="2"/>
  <c r="U163" i="2"/>
  <c r="B163" i="2"/>
  <c r="U162" i="2"/>
  <c r="B162" i="2"/>
  <c r="U161" i="2"/>
  <c r="B161" i="2"/>
  <c r="U160" i="2"/>
  <c r="B160" i="2"/>
  <c r="U159" i="2"/>
  <c r="B159" i="2"/>
  <c r="U158" i="2"/>
  <c r="B158" i="2"/>
  <c r="U157" i="2"/>
  <c r="B157" i="2"/>
  <c r="U156" i="2"/>
  <c r="B156" i="2"/>
  <c r="U155" i="2"/>
  <c r="B155" i="2"/>
  <c r="U154" i="2"/>
  <c r="B154" i="2"/>
  <c r="U153" i="2"/>
  <c r="B153" i="2"/>
  <c r="U152" i="2"/>
  <c r="B152" i="2"/>
  <c r="U151" i="2"/>
  <c r="B151" i="2"/>
  <c r="U150" i="2"/>
  <c r="B150" i="2"/>
  <c r="U149" i="2"/>
  <c r="B149" i="2"/>
  <c r="U148" i="2"/>
  <c r="B148" i="2"/>
  <c r="U147" i="2"/>
  <c r="B147" i="2"/>
  <c r="U146" i="2"/>
  <c r="B146" i="2"/>
  <c r="U145" i="2"/>
  <c r="B145" i="2"/>
  <c r="U144" i="2"/>
  <c r="B144" i="2"/>
  <c r="U143" i="2"/>
  <c r="B143" i="2"/>
  <c r="U142" i="2"/>
  <c r="B142" i="2"/>
  <c r="U141" i="2"/>
  <c r="B141" i="2"/>
  <c r="U140" i="2"/>
  <c r="B140" i="2"/>
  <c r="U139" i="2"/>
  <c r="B139" i="2"/>
  <c r="U138" i="2"/>
  <c r="B138" i="2"/>
  <c r="U137" i="2"/>
  <c r="B137" i="2"/>
  <c r="U136" i="2"/>
  <c r="B136" i="2"/>
  <c r="U135" i="2"/>
  <c r="B135" i="2"/>
  <c r="U134" i="2"/>
  <c r="B134" i="2"/>
  <c r="U133" i="2"/>
  <c r="B133" i="2"/>
  <c r="U132" i="2"/>
  <c r="B132" i="2"/>
  <c r="U131" i="2"/>
  <c r="B131" i="2"/>
  <c r="U130" i="2"/>
  <c r="B130" i="2"/>
  <c r="U129" i="2"/>
  <c r="B129" i="2"/>
  <c r="U128" i="2"/>
  <c r="B128" i="2"/>
  <c r="U127" i="2"/>
  <c r="B127" i="2"/>
  <c r="U126" i="2"/>
  <c r="B126" i="2"/>
  <c r="U125" i="2"/>
  <c r="B125" i="2"/>
  <c r="U124" i="2"/>
  <c r="B124" i="2"/>
  <c r="U123" i="2"/>
  <c r="B123" i="2"/>
  <c r="U485" i="2"/>
  <c r="U122" i="2"/>
  <c r="B122" i="2"/>
  <c r="U121" i="2"/>
  <c r="B121" i="2"/>
  <c r="U120" i="2"/>
  <c r="B120" i="2"/>
  <c r="U119" i="2"/>
  <c r="B119" i="2"/>
  <c r="U118" i="2"/>
  <c r="B118" i="2"/>
  <c r="U117" i="2"/>
  <c r="B117" i="2"/>
  <c r="U116" i="2"/>
  <c r="B116" i="2"/>
  <c r="U115" i="2"/>
  <c r="B115" i="2"/>
  <c r="U114" i="2"/>
  <c r="B114" i="2"/>
  <c r="U113" i="2"/>
  <c r="B113" i="2"/>
  <c r="U112" i="2"/>
  <c r="B112" i="2"/>
  <c r="U111" i="2"/>
  <c r="B111" i="2"/>
  <c r="U110" i="2"/>
  <c r="B110" i="2"/>
  <c r="U109" i="2"/>
  <c r="B109" i="2"/>
  <c r="U108" i="2"/>
  <c r="B108" i="2"/>
  <c r="U107" i="2"/>
  <c r="B107" i="2"/>
  <c r="U106" i="2"/>
  <c r="B106" i="2"/>
  <c r="U105" i="2"/>
  <c r="B105" i="2"/>
  <c r="U104" i="2"/>
  <c r="B104" i="2"/>
  <c r="U103" i="2"/>
  <c r="B103" i="2"/>
  <c r="U102" i="2"/>
  <c r="B102" i="2"/>
  <c r="U101" i="2"/>
  <c r="B101" i="2"/>
  <c r="U100" i="2"/>
  <c r="B100" i="2"/>
  <c r="U99" i="2"/>
  <c r="B99" i="2"/>
  <c r="U98" i="2"/>
  <c r="B98" i="2"/>
  <c r="U97" i="2"/>
  <c r="B97" i="2"/>
  <c r="U96" i="2"/>
  <c r="B96" i="2"/>
  <c r="U95" i="2"/>
  <c r="B95" i="2"/>
  <c r="U94" i="2"/>
  <c r="B94" i="2"/>
  <c r="U93" i="2"/>
  <c r="B93" i="2"/>
  <c r="U92" i="2"/>
  <c r="B92" i="2"/>
  <c r="U91" i="2"/>
  <c r="B91" i="2"/>
  <c r="U90" i="2"/>
  <c r="B90" i="2"/>
  <c r="U89" i="2"/>
  <c r="B89" i="2"/>
  <c r="U88" i="2"/>
  <c r="B88" i="2"/>
  <c r="U87" i="2"/>
  <c r="B87" i="2"/>
  <c r="U86" i="2"/>
  <c r="B86" i="2"/>
  <c r="U85" i="2"/>
  <c r="B85" i="2"/>
  <c r="U84" i="2"/>
  <c r="B84" i="2"/>
  <c r="U83" i="2"/>
  <c r="B83" i="2"/>
  <c r="U82" i="2"/>
  <c r="B82" i="2"/>
  <c r="U81" i="2"/>
  <c r="B81" i="2"/>
  <c r="U80" i="2"/>
  <c r="B80" i="2"/>
  <c r="U79" i="2"/>
  <c r="B79" i="2"/>
  <c r="U78" i="2"/>
  <c r="B78" i="2"/>
  <c r="U77" i="2"/>
  <c r="B77" i="2"/>
  <c r="U76" i="2"/>
  <c r="B76" i="2"/>
  <c r="U75" i="2"/>
  <c r="B75" i="2"/>
  <c r="U74" i="2"/>
  <c r="B74" i="2"/>
  <c r="U73" i="2"/>
  <c r="B73" i="2"/>
  <c r="U72" i="2"/>
  <c r="B72" i="2"/>
  <c r="U71" i="2"/>
  <c r="B71" i="2"/>
  <c r="U70" i="2"/>
  <c r="B70" i="2"/>
  <c r="U69" i="2"/>
  <c r="B69" i="2"/>
  <c r="U68" i="2"/>
  <c r="B68" i="2"/>
  <c r="U67" i="2"/>
  <c r="B67" i="2"/>
  <c r="U66" i="2"/>
  <c r="B66" i="2"/>
  <c r="U65" i="2"/>
  <c r="B65" i="2"/>
  <c r="U64" i="2"/>
  <c r="B64" i="2"/>
  <c r="U63" i="2"/>
  <c r="B63" i="2"/>
  <c r="U62" i="2"/>
  <c r="B62" i="2"/>
  <c r="U61" i="2"/>
  <c r="B61" i="2"/>
  <c r="U60" i="2"/>
  <c r="B60" i="2"/>
  <c r="U59" i="2"/>
  <c r="B59" i="2"/>
  <c r="U58" i="2"/>
  <c r="B58" i="2"/>
  <c r="U57" i="2"/>
  <c r="B57" i="2"/>
  <c r="U56" i="2"/>
  <c r="B56" i="2"/>
  <c r="U55" i="2"/>
  <c r="B55" i="2"/>
  <c r="U54" i="2"/>
  <c r="B54" i="2"/>
  <c r="U53" i="2"/>
  <c r="B53" i="2"/>
  <c r="U52" i="2"/>
  <c r="B52" i="2"/>
  <c r="U51" i="2"/>
  <c r="B51" i="2"/>
  <c r="U50" i="2"/>
  <c r="B50" i="2"/>
  <c r="U49" i="2"/>
  <c r="B49" i="2"/>
  <c r="U48" i="2"/>
  <c r="B48" i="2"/>
  <c r="U47" i="2"/>
  <c r="B47" i="2"/>
  <c r="U46" i="2"/>
  <c r="B46" i="2"/>
  <c r="U45" i="2"/>
  <c r="B45" i="2"/>
  <c r="U44" i="2"/>
  <c r="B44" i="2"/>
  <c r="U43" i="2"/>
  <c r="B43" i="2"/>
  <c r="U42" i="2"/>
  <c r="B42" i="2"/>
  <c r="U41" i="2"/>
  <c r="B41" i="2"/>
  <c r="U40" i="2"/>
  <c r="B40" i="2"/>
  <c r="U39" i="2"/>
  <c r="B39" i="2"/>
  <c r="U38" i="2"/>
  <c r="B38" i="2"/>
  <c r="U37" i="2"/>
  <c r="B37" i="2"/>
  <c r="U36" i="2"/>
  <c r="B36" i="2"/>
  <c r="U35" i="2"/>
  <c r="B35" i="2"/>
  <c r="U34" i="2"/>
  <c r="B34" i="2"/>
  <c r="U33" i="2"/>
  <c r="B33" i="2"/>
  <c r="U32" i="2"/>
  <c r="B32" i="2"/>
  <c r="U31" i="2"/>
  <c r="B31" i="2"/>
  <c r="U30" i="2"/>
  <c r="B30" i="2"/>
  <c r="U29" i="2"/>
  <c r="B29" i="2"/>
  <c r="U28" i="2"/>
  <c r="B28" i="2"/>
  <c r="U27" i="2"/>
  <c r="B27" i="2"/>
  <c r="U26" i="2"/>
  <c r="B26" i="2"/>
  <c r="U25" i="2"/>
  <c r="B25" i="2"/>
  <c r="U24" i="2"/>
  <c r="B24" i="2"/>
  <c r="U23" i="2"/>
  <c r="B23" i="2"/>
  <c r="U22" i="2"/>
  <c r="B22" i="2"/>
  <c r="U21" i="2"/>
  <c r="B21" i="2"/>
  <c r="U20" i="2"/>
  <c r="B20" i="2"/>
  <c r="U19" i="2"/>
  <c r="B19" i="2"/>
  <c r="U18" i="2"/>
  <c r="B18" i="2"/>
  <c r="U17" i="2"/>
  <c r="B17" i="2"/>
  <c r="U16" i="2"/>
  <c r="B16" i="2"/>
  <c r="U15" i="2"/>
  <c r="B15" i="2"/>
  <c r="U14" i="2"/>
  <c r="B14" i="2"/>
  <c r="U13" i="2"/>
  <c r="B13" i="2"/>
  <c r="U12" i="2"/>
  <c r="B12" i="2"/>
  <c r="U11" i="2"/>
  <c r="B11" i="2"/>
  <c r="U10" i="2"/>
  <c r="B10" i="2"/>
  <c r="U9" i="2"/>
  <c r="B9" i="2"/>
  <c r="U8" i="2"/>
  <c r="B8" i="2"/>
  <c r="U7" i="2"/>
  <c r="B7" i="2"/>
  <c r="U6" i="2"/>
  <c r="B6" i="2"/>
  <c r="U5" i="2"/>
  <c r="B5" i="2"/>
  <c r="S245" i="1"/>
  <c r="B245" i="1"/>
  <c r="S244" i="1"/>
  <c r="B244" i="1"/>
  <c r="S243" i="1"/>
  <c r="B243" i="1"/>
  <c r="S242" i="1"/>
  <c r="B242" i="1"/>
  <c r="S241" i="1"/>
  <c r="B241" i="1"/>
  <c r="S240" i="1"/>
  <c r="B240" i="1"/>
  <c r="S239" i="1"/>
  <c r="B239" i="1"/>
  <c r="S238" i="1"/>
  <c r="B238" i="1"/>
  <c r="S237" i="1"/>
  <c r="B237" i="1"/>
  <c r="S236" i="1"/>
  <c r="B236" i="1"/>
  <c r="S235" i="1"/>
  <c r="B235" i="1"/>
  <c r="S234" i="1"/>
  <c r="B234" i="1"/>
  <c r="S233" i="1"/>
  <c r="B233" i="1"/>
  <c r="S232" i="1"/>
  <c r="B232" i="1"/>
  <c r="S231" i="1"/>
  <c r="B231" i="1"/>
  <c r="S230" i="1"/>
  <c r="B230" i="1"/>
  <c r="S229" i="1"/>
  <c r="B229" i="1"/>
  <c r="S228" i="1"/>
  <c r="B228" i="1"/>
  <c r="S227" i="1"/>
  <c r="B227" i="1"/>
  <c r="S226" i="1"/>
  <c r="B226" i="1"/>
  <c r="S225" i="1"/>
  <c r="B225" i="1"/>
  <c r="S224" i="1"/>
  <c r="B224" i="1"/>
  <c r="S223" i="1"/>
  <c r="B223" i="1"/>
  <c r="S222" i="1"/>
  <c r="B222" i="1"/>
  <c r="S221" i="1"/>
  <c r="B221" i="1"/>
  <c r="S220" i="1"/>
  <c r="B220" i="1"/>
  <c r="S219" i="1"/>
  <c r="B219" i="1"/>
  <c r="S218" i="1"/>
  <c r="B218" i="1"/>
  <c r="S217" i="1"/>
  <c r="B217" i="1"/>
  <c r="S216" i="1"/>
  <c r="B216" i="1"/>
  <c r="S215" i="1"/>
  <c r="B215" i="1"/>
  <c r="S214" i="1"/>
  <c r="B214" i="1"/>
  <c r="S213" i="1"/>
  <c r="B213" i="1"/>
  <c r="S212" i="1"/>
  <c r="B212" i="1"/>
  <c r="S211" i="1"/>
  <c r="B211" i="1"/>
  <c r="S210" i="1"/>
  <c r="B210" i="1"/>
  <c r="S209" i="1"/>
  <c r="B209" i="1"/>
  <c r="S208" i="1"/>
  <c r="B208" i="1"/>
  <c r="S207" i="1"/>
  <c r="B207" i="1"/>
  <c r="S205" i="1"/>
  <c r="B205" i="1"/>
  <c r="S204" i="1"/>
  <c r="B204" i="1"/>
  <c r="S203" i="1"/>
  <c r="B203" i="1"/>
  <c r="S202" i="1"/>
  <c r="B202" i="1"/>
  <c r="S201" i="1"/>
  <c r="B201" i="1"/>
  <c r="S200" i="1"/>
  <c r="B200" i="1"/>
  <c r="S199" i="1"/>
  <c r="B199" i="1"/>
  <c r="S198" i="1"/>
  <c r="B198" i="1"/>
  <c r="S197" i="1"/>
  <c r="B197" i="1"/>
  <c r="S196" i="1"/>
  <c r="B196" i="1"/>
  <c r="S195" i="1"/>
  <c r="B195" i="1"/>
  <c r="S194" i="1"/>
  <c r="B194" i="1"/>
  <c r="S193" i="1"/>
  <c r="B193" i="1"/>
  <c r="S192" i="1"/>
  <c r="B192" i="1"/>
  <c r="S191" i="1"/>
  <c r="B191" i="1"/>
  <c r="S190" i="1"/>
  <c r="B190" i="1"/>
  <c r="S189" i="1"/>
  <c r="B189" i="1"/>
  <c r="S188" i="1"/>
  <c r="B188" i="1"/>
  <c r="S187" i="1"/>
  <c r="B187" i="1"/>
  <c r="S186" i="1"/>
  <c r="B186" i="1"/>
  <c r="S185" i="1"/>
  <c r="B185" i="1"/>
  <c r="S184" i="1"/>
  <c r="B184" i="1"/>
  <c r="S183" i="1"/>
  <c r="B183" i="1"/>
  <c r="S182" i="1"/>
  <c r="B182" i="1"/>
  <c r="S181" i="1"/>
  <c r="B181" i="1"/>
  <c r="S180" i="1"/>
  <c r="B180" i="1"/>
  <c r="S179" i="1"/>
  <c r="B179" i="1"/>
  <c r="S178" i="1"/>
  <c r="B178" i="1"/>
  <c r="S177" i="1"/>
  <c r="B177" i="1"/>
  <c r="S176" i="1"/>
  <c r="B176" i="1"/>
  <c r="S175" i="1"/>
  <c r="B175" i="1"/>
  <c r="S174" i="1"/>
  <c r="B174" i="1"/>
  <c r="S173" i="1"/>
  <c r="B173" i="1"/>
  <c r="S172" i="1"/>
  <c r="B172" i="1"/>
  <c r="S171" i="1"/>
  <c r="B171" i="1"/>
  <c r="S170" i="1"/>
  <c r="B170" i="1"/>
  <c r="S169" i="1"/>
  <c r="B169" i="1"/>
  <c r="S168" i="1"/>
  <c r="B168" i="1"/>
  <c r="S167" i="1"/>
  <c r="B167" i="1"/>
  <c r="S166" i="1"/>
  <c r="B166" i="1"/>
  <c r="S165" i="1"/>
  <c r="B165" i="1"/>
  <c r="S164" i="1"/>
  <c r="B164" i="1"/>
  <c r="S163" i="1"/>
  <c r="B163" i="1"/>
  <c r="S162" i="1"/>
  <c r="B162" i="1"/>
  <c r="S161" i="1"/>
  <c r="B161" i="1"/>
  <c r="S160" i="1"/>
  <c r="B160" i="1"/>
  <c r="S159" i="1"/>
  <c r="B159" i="1"/>
  <c r="S158" i="1"/>
  <c r="B158" i="1"/>
  <c r="S157" i="1"/>
  <c r="B157" i="1"/>
  <c r="S156" i="1"/>
  <c r="B156" i="1"/>
  <c r="S155" i="1"/>
  <c r="B155" i="1"/>
  <c r="S154" i="1"/>
  <c r="B154" i="1"/>
  <c r="S153" i="1"/>
  <c r="B153" i="1"/>
  <c r="S152" i="1"/>
  <c r="B152" i="1"/>
  <c r="S151" i="1"/>
  <c r="B151" i="1"/>
  <c r="S150" i="1"/>
  <c r="B150" i="1"/>
  <c r="S149" i="1"/>
  <c r="B149" i="1"/>
  <c r="S148" i="1"/>
  <c r="B148" i="1"/>
  <c r="S147" i="1"/>
  <c r="B147" i="1"/>
  <c r="S146" i="1"/>
  <c r="B146" i="1"/>
  <c r="S145" i="1"/>
  <c r="B145" i="1"/>
  <c r="S144" i="1"/>
  <c r="B144" i="1"/>
  <c r="S143" i="1"/>
  <c r="B143" i="1"/>
  <c r="S142" i="1"/>
  <c r="B142" i="1"/>
  <c r="S141" i="1"/>
  <c r="B141" i="1"/>
  <c r="S140" i="1"/>
  <c r="B140" i="1"/>
  <c r="S139" i="1"/>
  <c r="B139" i="1"/>
  <c r="S138" i="1"/>
  <c r="B138" i="1"/>
  <c r="S137" i="1"/>
  <c r="B137" i="1"/>
  <c r="S136" i="1"/>
  <c r="B136" i="1"/>
  <c r="S135" i="1"/>
  <c r="B135" i="1"/>
  <c r="S134" i="1"/>
  <c r="B134" i="1"/>
  <c r="S133" i="1"/>
  <c r="B133" i="1"/>
  <c r="S132" i="1"/>
  <c r="B132" i="1"/>
  <c r="S131" i="1"/>
  <c r="B131" i="1"/>
  <c r="S130" i="1"/>
  <c r="B130" i="1"/>
  <c r="S129" i="1"/>
  <c r="B129" i="1"/>
  <c r="S128" i="1"/>
  <c r="B128" i="1"/>
  <c r="S127" i="1"/>
  <c r="B127" i="1"/>
  <c r="S126" i="1"/>
  <c r="B126" i="1"/>
  <c r="S125" i="1"/>
  <c r="B125" i="1"/>
  <c r="S124" i="1"/>
  <c r="B124" i="1"/>
  <c r="S123" i="1"/>
  <c r="B123" i="1"/>
  <c r="S122" i="1"/>
  <c r="B122" i="1"/>
  <c r="S121" i="1"/>
  <c r="B121" i="1"/>
  <c r="S120" i="1"/>
  <c r="B120" i="1"/>
  <c r="S119" i="1"/>
  <c r="B119" i="1"/>
  <c r="S118" i="1"/>
  <c r="B118" i="1"/>
  <c r="S117" i="1"/>
  <c r="B117" i="1"/>
  <c r="S116" i="1"/>
  <c r="B116" i="1"/>
  <c r="S115" i="1"/>
  <c r="B115" i="1"/>
  <c r="S114" i="1"/>
  <c r="B114" i="1"/>
  <c r="S113" i="1"/>
  <c r="B113" i="1"/>
  <c r="S112" i="1"/>
  <c r="B112" i="1"/>
  <c r="S111" i="1"/>
  <c r="B111" i="1"/>
  <c r="S110" i="1"/>
  <c r="B110" i="1"/>
  <c r="S109" i="1"/>
  <c r="B109" i="1"/>
  <c r="S108" i="1"/>
  <c r="B108" i="1"/>
  <c r="S107" i="1"/>
  <c r="B107" i="1"/>
  <c r="S106" i="1"/>
  <c r="B106" i="1"/>
  <c r="S105" i="1"/>
  <c r="B105" i="1"/>
  <c r="S104" i="1"/>
  <c r="B104" i="1"/>
  <c r="S103" i="1"/>
  <c r="B103" i="1"/>
  <c r="S102" i="1"/>
  <c r="B102" i="1"/>
  <c r="S101" i="1"/>
  <c r="B101" i="1"/>
  <c r="S100" i="1"/>
  <c r="B100" i="1"/>
  <c r="S99" i="1"/>
  <c r="B99" i="1"/>
  <c r="S98" i="1"/>
  <c r="B98" i="1"/>
  <c r="S97" i="1"/>
  <c r="B97" i="1"/>
  <c r="S96" i="1"/>
  <c r="B96" i="1"/>
  <c r="S95" i="1"/>
  <c r="B95" i="1"/>
  <c r="S94" i="1"/>
  <c r="B94" i="1"/>
  <c r="S93" i="1"/>
  <c r="B93" i="1"/>
  <c r="S92" i="1"/>
  <c r="B92" i="1"/>
  <c r="S91" i="1"/>
  <c r="B91" i="1"/>
  <c r="S90" i="1"/>
  <c r="B90" i="1"/>
  <c r="S89" i="1"/>
  <c r="B89" i="1"/>
  <c r="S88" i="1"/>
  <c r="B88" i="1"/>
  <c r="S87" i="1"/>
  <c r="B87" i="1"/>
  <c r="S86" i="1"/>
  <c r="B86" i="1"/>
  <c r="S85" i="1"/>
  <c r="B85" i="1"/>
  <c r="S84" i="1"/>
  <c r="B84" i="1"/>
  <c r="S83" i="1"/>
  <c r="B83" i="1"/>
  <c r="S82" i="1"/>
  <c r="B82" i="1"/>
  <c r="S81" i="1"/>
  <c r="B81" i="1"/>
  <c r="S80" i="1"/>
  <c r="B80" i="1"/>
  <c r="S79" i="1"/>
  <c r="B79" i="1"/>
  <c r="S78" i="1"/>
  <c r="B78" i="1"/>
  <c r="S77" i="1"/>
  <c r="B77" i="1"/>
  <c r="S76" i="1"/>
  <c r="B76" i="1"/>
  <c r="S206" i="1"/>
  <c r="S75" i="1"/>
  <c r="B75" i="1"/>
  <c r="S74" i="1"/>
  <c r="B74" i="1"/>
  <c r="S73" i="1"/>
  <c r="B73" i="1"/>
  <c r="S72" i="1"/>
  <c r="B72" i="1"/>
  <c r="S71" i="1"/>
  <c r="B71" i="1"/>
  <c r="S70" i="1"/>
  <c r="B70" i="1"/>
  <c r="S69" i="1"/>
  <c r="B69" i="1"/>
  <c r="S68" i="1"/>
  <c r="B68" i="1"/>
  <c r="S67" i="1"/>
  <c r="B67" i="1"/>
  <c r="S66" i="1"/>
  <c r="B66" i="1"/>
  <c r="S65" i="1"/>
  <c r="B65" i="1"/>
  <c r="S64" i="1"/>
  <c r="B64" i="1"/>
  <c r="S63" i="1"/>
  <c r="B63" i="1"/>
  <c r="S62" i="1"/>
  <c r="B62" i="1"/>
  <c r="S61" i="1"/>
  <c r="B61" i="1"/>
  <c r="S60" i="1"/>
  <c r="B60" i="1"/>
  <c r="S59" i="1"/>
  <c r="B59" i="1"/>
  <c r="S58" i="1"/>
  <c r="B58" i="1"/>
  <c r="S57" i="1"/>
  <c r="B57" i="1"/>
  <c r="S56" i="1"/>
  <c r="B56" i="1"/>
  <c r="S55" i="1"/>
  <c r="B55" i="1"/>
  <c r="S54" i="1"/>
  <c r="B54" i="1"/>
  <c r="S53" i="1"/>
  <c r="B53" i="1"/>
  <c r="S52" i="1"/>
  <c r="B52" i="1"/>
  <c r="S51" i="1"/>
  <c r="B51" i="1"/>
  <c r="S50" i="1"/>
  <c r="B50" i="1"/>
  <c r="S49" i="1"/>
  <c r="B49" i="1"/>
  <c r="S48" i="1"/>
  <c r="B48" i="1"/>
  <c r="S47" i="1"/>
  <c r="B47" i="1"/>
  <c r="S46" i="1"/>
  <c r="B46" i="1"/>
  <c r="S45" i="1"/>
  <c r="B45" i="1"/>
  <c r="S44" i="1"/>
  <c r="B44" i="1"/>
  <c r="S43" i="1"/>
  <c r="B43" i="1"/>
  <c r="S42" i="1"/>
  <c r="B42" i="1"/>
  <c r="S41" i="1"/>
  <c r="B41" i="1"/>
  <c r="S40" i="1"/>
  <c r="B40" i="1"/>
  <c r="S39" i="1"/>
  <c r="B39" i="1"/>
  <c r="S38" i="1"/>
  <c r="B38" i="1"/>
  <c r="S37" i="1"/>
  <c r="B37" i="1"/>
  <c r="S36" i="1"/>
  <c r="B36" i="1"/>
  <c r="S35" i="1"/>
  <c r="B35" i="1"/>
  <c r="S34" i="1"/>
  <c r="B34" i="1"/>
  <c r="S33" i="1"/>
  <c r="B33" i="1"/>
  <c r="S32" i="1"/>
  <c r="B32" i="1"/>
  <c r="S31" i="1"/>
  <c r="B31" i="1"/>
  <c r="S30" i="1"/>
  <c r="B30" i="1"/>
  <c r="S29" i="1"/>
  <c r="B29" i="1"/>
  <c r="S28" i="1"/>
  <c r="B28" i="1"/>
  <c r="S27" i="1"/>
  <c r="B27" i="1"/>
  <c r="S26" i="1"/>
  <c r="B26" i="1"/>
  <c r="S25" i="1"/>
  <c r="B25" i="1"/>
  <c r="S24" i="1"/>
  <c r="B24" i="1"/>
  <c r="S23" i="1"/>
  <c r="B23" i="1"/>
  <c r="S22" i="1"/>
  <c r="B22" i="1"/>
  <c r="S21" i="1"/>
  <c r="B21" i="1"/>
  <c r="S20" i="1"/>
  <c r="B20" i="1"/>
  <c r="S19" i="1"/>
  <c r="B19" i="1"/>
  <c r="S18" i="1"/>
  <c r="B18" i="1"/>
  <c r="S17" i="1"/>
  <c r="B17" i="1"/>
  <c r="S16" i="1"/>
  <c r="B16" i="1"/>
  <c r="S15" i="1"/>
  <c r="B15" i="1"/>
  <c r="S14" i="1"/>
  <c r="B14" i="1"/>
  <c r="S13" i="1"/>
  <c r="B13" i="1"/>
  <c r="S12" i="1"/>
  <c r="B12" i="1"/>
  <c r="S11" i="1"/>
  <c r="B11" i="1"/>
  <c r="S10" i="1"/>
  <c r="B10" i="1"/>
  <c r="S9" i="1"/>
  <c r="B9" i="1"/>
  <c r="S8" i="1"/>
  <c r="B8" i="1"/>
  <c r="S7" i="1"/>
  <c r="B7" i="1"/>
  <c r="S6" i="1"/>
  <c r="B6" i="1"/>
  <c r="S5" i="1"/>
  <c r="B5" i="1"/>
</calcChain>
</file>

<file path=xl/sharedStrings.xml><?xml version="1.0" encoding="utf-8"?>
<sst xmlns="http://schemas.openxmlformats.org/spreadsheetml/2006/main" count="2025" uniqueCount="566">
  <si>
    <t>Hodnocení výsledků výzkumných organizací v roce 2016: Výsledky výzkumných organizací</t>
  </si>
  <si>
    <t>4. etapa hodnocení</t>
  </si>
  <si>
    <t>Výzkumná organizace</t>
  </si>
  <si>
    <t>Pilíř I</t>
  </si>
  <si>
    <t>Pilíř II - ERC granty</t>
  </si>
  <si>
    <t>Pilíř II - excelentní výsledky</t>
  </si>
  <si>
    <t>Pilíř III</t>
  </si>
  <si>
    <t>Výsledky aplikovaného výzkumu 2011, pilíř III 2012-2013</t>
  </si>
  <si>
    <t>Celkem</t>
  </si>
  <si>
    <t>Kód poskytovatele</t>
  </si>
  <si>
    <t>IČO</t>
  </si>
  <si>
    <t>Název instituce</t>
  </si>
  <si>
    <t>Počet výsledků s kladným bodovým ohodnocením</t>
  </si>
  <si>
    <t>Body výsledků</t>
  </si>
  <si>
    <t>Body upravené podle příl. č. 8 Metodiky</t>
  </si>
  <si>
    <t>Počet ERC grantů zjištěných</t>
  </si>
  <si>
    <t>Počet ERC grantů započtených</t>
  </si>
  <si>
    <t>Započtená bonifikace</t>
  </si>
  <si>
    <t>Alokovaná kvóta výsledků na VO</t>
  </si>
  <si>
    <t>Počet výsledků v kategorii "A"</t>
  </si>
  <si>
    <t>Bodové skóre v předešlém roce</t>
  </si>
  <si>
    <t>Bodové skóre v aktuálním roce</t>
  </si>
  <si>
    <t>Body za patenty, odrůdy a plemena</t>
  </si>
  <si>
    <t>Upravené body za patenty, odrůdy a plemena</t>
  </si>
  <si>
    <t>Body za projekty aplikovaného výzkumu a smluvní výzkum</t>
  </si>
  <si>
    <t>Celkové body ve III. Pilíři</t>
  </si>
  <si>
    <t>Upravené body výsledků</t>
  </si>
  <si>
    <t>MSM</t>
  </si>
  <si>
    <t>Accendo - Centrum pro vědu a výzkum, o.p.s.</t>
  </si>
  <si>
    <t>MZE</t>
  </si>
  <si>
    <t>Agritec Plant Research s.r.o.</t>
  </si>
  <si>
    <t>Agrotest fyto, s.r.o.</t>
  </si>
  <si>
    <t>Agrovýzkum Rapotín s.r.o.</t>
  </si>
  <si>
    <t>Akademie múzických umění v Praze</t>
  </si>
  <si>
    <t>Akademie VŠEM, o.p.s.</t>
  </si>
  <si>
    <t>Akademie výtvarných umění v Praze</t>
  </si>
  <si>
    <t>MV0</t>
  </si>
  <si>
    <t>Akademie, o.p.s.</t>
  </si>
  <si>
    <t>ALKA Wildlife, o.p.s.</t>
  </si>
  <si>
    <t>ARCHAIA Brno o.p.s.</t>
  </si>
  <si>
    <t>KOL</t>
  </si>
  <si>
    <t>Archeologické centrum Olomouc, příspěvková organizace</t>
  </si>
  <si>
    <t>AV0</t>
  </si>
  <si>
    <t>Archeologický ústav AV ČR, Brno, v. v. i.</t>
  </si>
  <si>
    <t>Archeologický ústav AV ČR, Praha, v. v. i.</t>
  </si>
  <si>
    <t>Archiv bezpečnostních složek</t>
  </si>
  <si>
    <t>Asociace inovačního podnikání České republiky z.s.</t>
  </si>
  <si>
    <t>Asociace výzkumných organizací</t>
  </si>
  <si>
    <t>Astronomický ústav AV ČR, v. v. i.</t>
  </si>
  <si>
    <t>BIC Brno, spol. s r. o.</t>
  </si>
  <si>
    <t>Biofyzikální ústav AV ČR, v. v. i.</t>
  </si>
  <si>
    <t>Biologické centrum AV ČR, v. v. i.</t>
  </si>
  <si>
    <t>Biotechnologický ústav AV ČR, v. v. i.</t>
  </si>
  <si>
    <t>KHP</t>
  </si>
  <si>
    <t>Botanická zahrada hl.m.Prahy</t>
  </si>
  <si>
    <t>Botanický ústav AV ČR, v. v. i.</t>
  </si>
  <si>
    <t>MO0</t>
  </si>
  <si>
    <t>CASRI - vědecké a servisní pracoviště tělesné výchovy</t>
  </si>
  <si>
    <t>MZP</t>
  </si>
  <si>
    <t>CENIA, česká informační agentura životního prostředí</t>
  </si>
  <si>
    <t>MD</t>
  </si>
  <si>
    <t>Centrum dopravního výzkumu, v.v.i.</t>
  </si>
  <si>
    <t>Centrum ekonomických studií Vysoké školy ekonomie a managementu, o.p.s.</t>
  </si>
  <si>
    <t>MPO</t>
  </si>
  <si>
    <t>Centrum hydraulického výzkumu spol. s r.o.</t>
  </si>
  <si>
    <t>MZ0</t>
  </si>
  <si>
    <t>Centrum kardiovaskulární a transplantační chirurgie</t>
  </si>
  <si>
    <t>Centrum organické chemie s.r.o.</t>
  </si>
  <si>
    <t>Centrum pasivního domu</t>
  </si>
  <si>
    <t>Centrum pro bezpečný stát o.s.</t>
  </si>
  <si>
    <t>Centrum pro studium vysokého školství, v.v.i.</t>
  </si>
  <si>
    <t>Centrum výzkumu globální změny AV ČR, v. v. i.</t>
  </si>
  <si>
    <t>Centrum výzkumu Řež s.r.o.</t>
  </si>
  <si>
    <t>CESNET - zájmové sdružení právnických osob</t>
  </si>
  <si>
    <t>COMTES FHT a.s.</t>
  </si>
  <si>
    <t>CZECHDESIGN.CZ, o.s.</t>
  </si>
  <si>
    <t>Česká geologická služba</t>
  </si>
  <si>
    <t>Česká kosmická kancelář o.p.s.</t>
  </si>
  <si>
    <t>Česká zemědělská univerzita v Praze</t>
  </si>
  <si>
    <t>České vysoké učení technické v Praze</t>
  </si>
  <si>
    <t>Český hydrometeorologický ústav</t>
  </si>
  <si>
    <t>Český metrologický institut</t>
  </si>
  <si>
    <t>Ekologické služby, s.r.o.</t>
  </si>
  <si>
    <t>Endokrinologický ústav</t>
  </si>
  <si>
    <t>ENKI, o.p.s.</t>
  </si>
  <si>
    <t>Etnologický ústav AV ČR, v. v. i.</t>
  </si>
  <si>
    <t>Fakultní nemocnice Brno</t>
  </si>
  <si>
    <t>Fakultní nemocnice Hradec Králové</t>
  </si>
  <si>
    <t>Fakultní nemocnice Královské Vinohrady</t>
  </si>
  <si>
    <t>Fakultní nemocnice Olomouc</t>
  </si>
  <si>
    <t>Fakultní nemocnice Ostrava</t>
  </si>
  <si>
    <t>Fakultní nemocnice Plzeň</t>
  </si>
  <si>
    <t>Fakultní nemocnice u sv. Anny v Brně</t>
  </si>
  <si>
    <t>Fakultní nemocnice v Motole</t>
  </si>
  <si>
    <t>Filosofický ústav AV ČR, v. v. i.</t>
  </si>
  <si>
    <t>Fyzikální ústav AV ČR, v. v. i.</t>
  </si>
  <si>
    <t>Fyziologický ústav AV ČR, v. v. i.</t>
  </si>
  <si>
    <t>GaREP, spol. s r.o.</t>
  </si>
  <si>
    <t>Geofyzikální ústav AV ČR, v. v. i.</t>
  </si>
  <si>
    <t>Geologický ústav AV ČR, v. v. i.</t>
  </si>
  <si>
    <t>Historický ústav AV ČR, v. v. i.</t>
  </si>
  <si>
    <t>MK0</t>
  </si>
  <si>
    <t>Husitské muzeum v Táboře</t>
  </si>
  <si>
    <t>Chmelařský institut s.r.o.</t>
  </si>
  <si>
    <t>INESAN, s.r.o.</t>
  </si>
  <si>
    <t>Institut klinické a experimentální mediciny</t>
  </si>
  <si>
    <t>Institut postgraduálního vzdělávání ve zdravotnictví</t>
  </si>
  <si>
    <t>Institut pro kriminologii a sociální prevenci</t>
  </si>
  <si>
    <t>Institut pro studium literatury, o. p. s.</t>
  </si>
  <si>
    <t>Institut umění - Divadelní ústav</t>
  </si>
  <si>
    <t>Intemac Solutions, s.r.o.</t>
  </si>
  <si>
    <t>Inženýrská akademie České republiky, o.s.</t>
  </si>
  <si>
    <t>ISEA, z.s.</t>
  </si>
  <si>
    <t>Janáčkova akademie múzických umění v Brně</t>
  </si>
  <si>
    <t>Jihočeská univerzita v Českých Budějovicích</t>
  </si>
  <si>
    <t>Knihovna AV ČR, v. v. i.</t>
  </si>
  <si>
    <t>Masarykova univerzita</t>
  </si>
  <si>
    <t>Masarykův onkologický ústav</t>
  </si>
  <si>
    <t>Masarykův ústav a Archiv AV ČR, v. v. i.</t>
  </si>
  <si>
    <t>Matematický ústav AV ČR, v. v. i.</t>
  </si>
  <si>
    <t>MATERIÁLOVÝ A METALURGICKÝ VÝZKUM s.r.o.</t>
  </si>
  <si>
    <t>MemBrain s.r.o.</t>
  </si>
  <si>
    <t>Mendelova univerzita v Brně</t>
  </si>
  <si>
    <t>METCENAS, o.p.s.</t>
  </si>
  <si>
    <t>Metropolitní univerzita Praha, o.p.s.</t>
  </si>
  <si>
    <t>Mikrobiologický ústav AV ČR, v. v. i.</t>
  </si>
  <si>
    <t>Mikropur, s.r.o.</t>
  </si>
  <si>
    <t>Ministerstvo obrany</t>
  </si>
  <si>
    <t>Ministerstvo vnitra</t>
  </si>
  <si>
    <t>Moravská galerie v Brně</t>
  </si>
  <si>
    <t>Moravská vysoká škola Olomouc, o.p.s.</t>
  </si>
  <si>
    <t>Moravská zemská knihovna v Brně</t>
  </si>
  <si>
    <t>Moravské zemské muzeum</t>
  </si>
  <si>
    <t>Muzeum Jana Amose Komenského</t>
  </si>
  <si>
    <t>KZL</t>
  </si>
  <si>
    <t>Muzeum regionu Valašsko, p.o.</t>
  </si>
  <si>
    <t>Muzeum skla a bižuterie v Jablonci nad Nisou</t>
  </si>
  <si>
    <t>Muzeum umění Olomouc, státní příspěvková organizace</t>
  </si>
  <si>
    <t>KHK</t>
  </si>
  <si>
    <t>Muzeum východních Čech v Hradci Králové</t>
  </si>
  <si>
    <t>KVY</t>
  </si>
  <si>
    <t>Muzeum Vysočiny Jihlava, příspěvková organizace</t>
  </si>
  <si>
    <t>Národní archiv</t>
  </si>
  <si>
    <t>Národní filmový archiv</t>
  </si>
  <si>
    <t>Národní galerie v Praze</t>
  </si>
  <si>
    <t>Národní informační a poradenské středisko pro kulturu</t>
  </si>
  <si>
    <t>Národní knihovna České republiky</t>
  </si>
  <si>
    <t>Národní lékařská knihovna</t>
  </si>
  <si>
    <t>Národní muzeum</t>
  </si>
  <si>
    <t>Národní památkový ústav</t>
  </si>
  <si>
    <t>Národní pedagogické muzeum a knihovna J. A. Komenského</t>
  </si>
  <si>
    <t>Národní technická knihovna</t>
  </si>
  <si>
    <t>Národní technické museum</t>
  </si>
  <si>
    <t>Národní ústav duševního zdraví</t>
  </si>
  <si>
    <t>Národní ústav lidové kultury</t>
  </si>
  <si>
    <t>Národní zemědělské muzeum Praha</t>
  </si>
  <si>
    <t>Národohospodářský ústav AV ČR, v. v. i.</t>
  </si>
  <si>
    <t>Nemocnice Na Bulovce</t>
  </si>
  <si>
    <t>Nemocnice Na Homolce</t>
  </si>
  <si>
    <t>NEWTON College, a.s.</t>
  </si>
  <si>
    <t>Orientální ústav AV ČR, v. v. i.</t>
  </si>
  <si>
    <t>OSEVA vývoj a výzkum s.r.o.</t>
  </si>
  <si>
    <t>Ostravská univerzita</t>
  </si>
  <si>
    <t>Památník národního písemnictví</t>
  </si>
  <si>
    <t>Policejní akademie České republiky v Praze</t>
  </si>
  <si>
    <t>Psychologický ústav AV ČR, v. v. i.</t>
  </si>
  <si>
    <t>Revmatologický ústav</t>
  </si>
  <si>
    <t>Slezská univerzita v Opavě</t>
  </si>
  <si>
    <t>Slezské zemské muzeum</t>
  </si>
  <si>
    <t>Slovanský ústav AV ČR, v. v. i.</t>
  </si>
  <si>
    <t>SocioFactor s.r.o.</t>
  </si>
  <si>
    <t>Sociologický ústav AV ČR, v. v. i.</t>
  </si>
  <si>
    <t>Společnost vědeckotechnických parků, z.s.</t>
  </si>
  <si>
    <t>Státní ústav jaderné, chemické a biologické ochrany, v.v.i.</t>
  </si>
  <si>
    <t>Státní ústav radiační ochrany, v.v.i.</t>
  </si>
  <si>
    <t>Státní zdravotní ústav se sídlem v Praze</t>
  </si>
  <si>
    <t>Středisko společných činností AV ČR, v. v. i.</t>
  </si>
  <si>
    <t>SVÚM a.s.</t>
  </si>
  <si>
    <t>SVÚOM s.r.o.</t>
  </si>
  <si>
    <t>ŠKODA AUTO VYSOKÁ ŠKOLA o.p.s.</t>
  </si>
  <si>
    <t>Technická univerzita v Liberci</t>
  </si>
  <si>
    <t>Technické muzeum v Brně</t>
  </si>
  <si>
    <t>Technologické centrum Akademie věd České republiky</t>
  </si>
  <si>
    <t>Textilní zkušební ústav, s.p.</t>
  </si>
  <si>
    <t>Thermo Sanace s.r.o.</t>
  </si>
  <si>
    <t>Thomayerova nemocnice</t>
  </si>
  <si>
    <t>TOS NOVA - Výzkum, a.s.</t>
  </si>
  <si>
    <t>Uměleckoprůmyslové museum v Praze</t>
  </si>
  <si>
    <t>Unipetrol výzkumně vzdělávací centrum, a.s.</t>
  </si>
  <si>
    <t>Univerzita Hradec Králové</t>
  </si>
  <si>
    <t>Univerzita Jana Amose Komenského Praha s.r.o.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</si>
  <si>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</si>
  <si>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</si>
  <si>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</si>
  <si>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</si>
  <si>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</si>
  <si>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Ústav analytické chemie AV ČR, v. v. i.</t>
  </si>
  <si>
    <t>Ústav anorganické chemie AV ČR, v. v. i.</t>
  </si>
  <si>
    <t>KJM</t>
  </si>
  <si>
    <t>Ústav archeologické památkové péče Brno, veřejná výzkumná instituce</t>
  </si>
  <si>
    <t>KUL</t>
  </si>
  <si>
    <t>Ústav archeologické památkové péče severozápadních Čech, v. v. i.</t>
  </si>
  <si>
    <t>Ústav biologie obratlovců AV ČR, v. v. i.</t>
  </si>
  <si>
    <t>Ústav dějin umění AV ČR, v. v. i.</t>
  </si>
  <si>
    <t>Ústav experimentální botaniky AV ČR, v. v. i.</t>
  </si>
  <si>
    <t>Ústav experimentální medicíny AV ČR, v. v. i.</t>
  </si>
  <si>
    <t>Ústav fotoniky a elektroniky AV ČR, v. v. i.</t>
  </si>
  <si>
    <t>Ústav fyzikální chemie J. Heyrovského AV ČR, v. v. i.</t>
  </si>
  <si>
    <t>Ústav fyziky atmosféry AV ČR, v. v. i.</t>
  </si>
  <si>
    <t>Ústav fyziky materiálů AV ČR, v. v. i.</t>
  </si>
  <si>
    <t>Ústav fyziky plazmatu AV ČR, v. v. i.</t>
  </si>
  <si>
    <t>Ústav geoniky AV ČR, v. v. i.</t>
  </si>
  <si>
    <t>Ústav hematologie a krevní transfúze</t>
  </si>
  <si>
    <t>Ústav chemických procesů AV ČR, v. v. i.</t>
  </si>
  <si>
    <t>Ústav informatiky AV ČR, v. v. i.</t>
  </si>
  <si>
    <t>Ústav jaderné fyziky AV ČR, v. v. i.</t>
  </si>
  <si>
    <t>Ústav makromolekulární chemie AV ČR, v. v. i.</t>
  </si>
  <si>
    <t>Ústav mezinárodních vztahů, v.v.i.</t>
  </si>
  <si>
    <t>Ústav molekulární genetiky AV ČR, v. v. i.</t>
  </si>
  <si>
    <t>Ústav organické chemie a biochemie AV ČR, v. v. i.</t>
  </si>
  <si>
    <t>Ústav pro českou literaturu AV ČR, v. v. i.</t>
  </si>
  <si>
    <t>Ústav pro hydrodynamiku AV ČR, v. v. i.</t>
  </si>
  <si>
    <t>Ústav pro jazyk český AV ČR, v. v. i.</t>
  </si>
  <si>
    <t>Ústav pro péči o matku a dítě</t>
  </si>
  <si>
    <t>Ústav pro soudobé dějiny AV ČR, v. v. i.</t>
  </si>
  <si>
    <t>Ústav pro studium totalitních režimů</t>
  </si>
  <si>
    <t>Ústav přístrojové techniky AV ČR, v. v. i.</t>
  </si>
  <si>
    <t>Ústav státu a práva AV ČR, v. v. i.</t>
  </si>
  <si>
    <t>Ústav struktury a mechaniky hornin AV ČR, v. v. i.</t>
  </si>
  <si>
    <t>Ústav teoretické a aplikované mechaniky AV ČR, v. v. i.</t>
  </si>
  <si>
    <t>Ústav teorie informace a automatizace AV ČR, v. v. i.</t>
  </si>
  <si>
    <t>Ústav termomechaniky AV ČR, v. v. i.</t>
  </si>
  <si>
    <t>Ústav zemědělské ekonomiky a informací</t>
  </si>
  <si>
    <t>Ústav živočišné fyziologie a genetiky AV ČR, v. v. i.</t>
  </si>
  <si>
    <t>Ústřední vojenská nemocnice - Vojenská fakultní nemocnice Praha</t>
  </si>
  <si>
    <t>Valašské muzeum v přírodě v Rožnově pod Radhoštěm</t>
  </si>
  <si>
    <t>Veterinární a farmaceutická univerzita Brno</t>
  </si>
  <si>
    <t>VIP park.cz, s.r.o.</t>
  </si>
  <si>
    <t>VÍTKOVICE ÚAM a.s.</t>
  </si>
  <si>
    <t>Vojenský výzkumný ústav, s.p.</t>
  </si>
  <si>
    <t>Všeobecná fakultní nemocnice v Praze</t>
  </si>
  <si>
    <t>VÚTS, a.s.</t>
  </si>
  <si>
    <t>Vysoká škola báňská - Technická univerzita Ostrava</t>
  </si>
  <si>
    <t>Vysoká škola ekonomická v Praze</t>
  </si>
  <si>
    <t>Vysoká škola evropských a regionálních studií, z.ú.</t>
  </si>
  <si>
    <t>Vysoká škola hotelová v Praze 8, spol. s r.o.</t>
  </si>
  <si>
    <t>Vysoká škola chemicko-technologická v Praze</t>
  </si>
  <si>
    <t>Vysoká škola logistiky, o.p.s.</t>
  </si>
  <si>
    <t>Vysoká škola obchodní v Praze, o.p.s.</t>
  </si>
  <si>
    <t>Vysoká škola polytechnická Jihlava</t>
  </si>
  <si>
    <t>Vysoká škola technická a ekonomická v Českých Budějovicích</t>
  </si>
  <si>
    <t>Vysoká škola tělesné výchovy a sportu PALESTRA, spol. s r.o.</t>
  </si>
  <si>
    <t>Vysoká škola umělecko-průmyslová v Praze</t>
  </si>
  <si>
    <t>Vysoké učení technické v Brně</t>
  </si>
  <si>
    <t>Výzkumné centrum BIVŠ, z.ú.</t>
  </si>
  <si>
    <t>Výzkumné centrum SELTON, s.r.o.</t>
  </si>
  <si>
    <t>Výzkumný a šlechtitelský ústav ovocnářský Holovousy s.r.o.</t>
  </si>
  <si>
    <t>Výzkumný a zkušební letecký ústav, a.s.</t>
  </si>
  <si>
    <t>Výzkumný a zkušební ústav Plzeň s.r.o.</t>
  </si>
  <si>
    <t>Výzkumný ústav bezpečnosti práce, v.v.i.</t>
  </si>
  <si>
    <t>Výzkumný ústav bramborářský Havlíčkův Brod, s.r.o.</t>
  </si>
  <si>
    <t>Výzkumný ústav geodetický, topografický a kartografický, v. v. i.</t>
  </si>
  <si>
    <t>Výzkumný ústav lesního hospodářství a myslivosti, v.v.i.</t>
  </si>
  <si>
    <t>Výzkumný ústav meliorací a ochrany půdy, v.v.i.</t>
  </si>
  <si>
    <t>Výzkumný ústav mlékárenský s.r.o.</t>
  </si>
  <si>
    <t>Výzkumný ústav pivovarský a sladařský, a.s.</t>
  </si>
  <si>
    <t>Výzkumný ústav potravinářský Praha, v.v.i.</t>
  </si>
  <si>
    <t>Výzkumný ústav pozemních staveb - Certifikační společnost, s.r.o.</t>
  </si>
  <si>
    <t>Výzkumný ústav práce a sociálních věcí, v.v.i.</t>
  </si>
  <si>
    <t>Výzkumný ústav rostlinné výroby, v.v.i.</t>
  </si>
  <si>
    <t>Výzkumný ústav Silva Taroucy pro krajinu a okrasné zahradnictví, v.v.i.</t>
  </si>
  <si>
    <t>Výzkumný ústav stavebních hmot,a.s.</t>
  </si>
  <si>
    <t>Výzkumný ústav veterinárního lékařství, v.v.i.</t>
  </si>
  <si>
    <t>Výzkumný ústav vodohospodářský T. G. Masaryka veřejná výzkumná instituce</t>
  </si>
  <si>
    <t>Výzkumný ústav zemědělské techniky, v.v.i.</t>
  </si>
  <si>
    <t>Výzkumný ústav živočišné výroby, v.v.i.</t>
  </si>
  <si>
    <t>Vzdělávací a výzkumný institut Agel, o.p.s.</t>
  </si>
  <si>
    <t>KPZ</t>
  </si>
  <si>
    <t>Západočeská galerie v Plzni, příspěvková organizace</t>
  </si>
  <si>
    <t>Západočeská univerzita v Plzni</t>
  </si>
  <si>
    <t>Západočeské muzeum v Plzni, příspěvková organizace</t>
  </si>
  <si>
    <t>Zdravotní ústav se sídlem v Ostravě</t>
  </si>
  <si>
    <t>Zdravotní ústav se sídlem v Ústí nad Labem</t>
  </si>
  <si>
    <t>Zemědělský výzkum, spol. s r.o.</t>
  </si>
  <si>
    <t>Židovské muzeum v Praze</t>
  </si>
  <si>
    <t>Kód organizační jednotky</t>
  </si>
  <si>
    <t>Název organizační jednotky</t>
  </si>
  <si>
    <t>(nerozlišená součást)</t>
  </si>
  <si>
    <t>Hudební fakulta</t>
  </si>
  <si>
    <t>Divadelní fakulta</t>
  </si>
  <si>
    <t>Filmová a televizní fakulta</t>
  </si>
  <si>
    <t>Katedra cizích jazyků AMU</t>
  </si>
  <si>
    <t>Katedra tělesné výchovy AMU</t>
  </si>
  <si>
    <t>Knihovna AMU</t>
  </si>
  <si>
    <t>Počítačové centrum AMU</t>
  </si>
  <si>
    <t>Ediční centrum AMU</t>
  </si>
  <si>
    <t>Rektorát AMU - výkonný a správní útvar rektora a kvestora</t>
  </si>
  <si>
    <t>Rektorát</t>
  </si>
  <si>
    <t>Provozně ekonomická fakulta</t>
  </si>
  <si>
    <t>Fakulta agrobiologie, potravinových a přírodních zdrojů</t>
  </si>
  <si>
    <t>Technická fakulta</t>
  </si>
  <si>
    <t>Fakulta lesnická a dřevařská</t>
  </si>
  <si>
    <t>Fakulta životního prostředí</t>
  </si>
  <si>
    <t>Fakulta tropického zemědělství</t>
  </si>
  <si>
    <t>Institut vzdělávání a poradenství</t>
  </si>
  <si>
    <t>Institut tropů a subtropů</t>
  </si>
  <si>
    <t>Katedra tělesné výchovy</t>
  </si>
  <si>
    <t>Studijní a informační centrum</t>
  </si>
  <si>
    <t>Centrum pro další vzdělávání a poradenství</t>
  </si>
  <si>
    <t>UNICO-AGRIC - zprostředkovatelská a inženýrská kancelář</t>
  </si>
  <si>
    <t>Školní zemědělský podnik se sídlem v Lánech</t>
  </si>
  <si>
    <t>Školní zemědělský podnik se sídlem v Kostelci nad Černými lesy</t>
  </si>
  <si>
    <t>Fakulta stavební</t>
  </si>
  <si>
    <t>Fakulta strojní</t>
  </si>
  <si>
    <t>Fakulta elektrotechnická</t>
  </si>
  <si>
    <t>Fakulta informačních technologií</t>
  </si>
  <si>
    <t>Fakulta dopravní</t>
  </si>
  <si>
    <t>Fakulta jaderná a fyzikálně inženýrská</t>
  </si>
  <si>
    <t>Fakulta architektury</t>
  </si>
  <si>
    <t>Fakulta biomedicínského inženýrství</t>
  </si>
  <si>
    <t>Kloknerův ústav</t>
  </si>
  <si>
    <t>Výpočetní a informační centrum</t>
  </si>
  <si>
    <t>Masarykův ústav vyšších studií</t>
  </si>
  <si>
    <t>Technologické a inovační centrum</t>
  </si>
  <si>
    <t>Výzkumné centrum průmyslového dědictví</t>
  </si>
  <si>
    <t>Ústav technické a experimentální fyziky ČVUT</t>
  </si>
  <si>
    <t>Centrum pro radiochemii a radiační chemii</t>
  </si>
  <si>
    <t>Ústav tělesné výchovy a sportu</t>
  </si>
  <si>
    <t>Ústřední knihovna</t>
  </si>
  <si>
    <t>Inovacentrum</t>
  </si>
  <si>
    <t>Univerzitní centrum energeticky efektivních budov</t>
  </si>
  <si>
    <t>Český institut informatiky, robotiky a kybernetiky</t>
  </si>
  <si>
    <t>Rektorát ČVUT</t>
  </si>
  <si>
    <t>Vydavatelství ČVUT</t>
  </si>
  <si>
    <t>Informační centrum ASTORKA</t>
  </si>
  <si>
    <t>Divadlo na Orlí</t>
  </si>
  <si>
    <t>Zdravotně sociální fakulta</t>
  </si>
  <si>
    <t>Filozofická fakulta</t>
  </si>
  <si>
    <t>Zemědělská fakulta</t>
  </si>
  <si>
    <t>Teologická fakulta</t>
  </si>
  <si>
    <t>Přírodovědecká fakulta</t>
  </si>
  <si>
    <t>Pedagogická fakulta</t>
  </si>
  <si>
    <t>Ekonomická fakulta</t>
  </si>
  <si>
    <t>Fakulta rybářství a ochrany vod</t>
  </si>
  <si>
    <t>Výzkumný ústav rybářský a hydrobiologický</t>
  </si>
  <si>
    <t>Školský zemědělský podnik</t>
  </si>
  <si>
    <t>Ústav fyzikální biologie</t>
  </si>
  <si>
    <t>Jazykové centrum</t>
  </si>
  <si>
    <t>Centrum informačních technologií</t>
  </si>
  <si>
    <t>Evropské informační centrum</t>
  </si>
  <si>
    <t>Institut pro etiku hospodářství a regionální rozvoj</t>
  </si>
  <si>
    <t>Britské centrum</t>
  </si>
  <si>
    <t>Goethe-Zentrum</t>
  </si>
  <si>
    <t>Lékařská fakulta</t>
  </si>
  <si>
    <t>Právnická fakulta</t>
  </si>
  <si>
    <t>Fakulta sociálních studií</t>
  </si>
  <si>
    <t>Fakulta informatiky</t>
  </si>
  <si>
    <t>Fakulta sportovních studií</t>
  </si>
  <si>
    <t>Ekonomicko-správní fakulta</t>
  </si>
  <si>
    <t>Centrum zahraničních studií</t>
  </si>
  <si>
    <t>Ústav výpočetní techniky</t>
  </si>
  <si>
    <t>Mezinárodní politologický ústav</t>
  </si>
  <si>
    <t>Centrum jazykového vzdělávání</t>
  </si>
  <si>
    <t>Centrum pro další vzdělávání</t>
  </si>
  <si>
    <t>Poradenské centrum pro studenty</t>
  </si>
  <si>
    <t>Mezinárodní letní škola muzeologie ISSOM</t>
  </si>
  <si>
    <t>Pracoviště UNESCO - UNESCO CHAIR</t>
  </si>
  <si>
    <t>Archiv</t>
  </si>
  <si>
    <t>Institut biostatistiky a analýz</t>
  </si>
  <si>
    <t>Centrum pro transfer technologií</t>
  </si>
  <si>
    <t>Centrum občanského vzdělávání</t>
  </si>
  <si>
    <t>Středoevropský technologický institut</t>
  </si>
  <si>
    <t>Středisko pro pomoc studentům se specifickými nároky</t>
  </si>
  <si>
    <t>Mendelovo muzeum</t>
  </si>
  <si>
    <t>Univerzitní centrum Telč</t>
  </si>
  <si>
    <t>Vydavatelství</t>
  </si>
  <si>
    <t>Správa univerzitního kampusu Bohunice</t>
  </si>
  <si>
    <t>Agronomická fakulta</t>
  </si>
  <si>
    <t>Fakulta regionálního rozvoje a mezinárodních studií</t>
  </si>
  <si>
    <t>Lesnická a dřevařská fakulta</t>
  </si>
  <si>
    <t>Zahradnická fakulta (Lednice)</t>
  </si>
  <si>
    <t>Ústav vědecko-pedagogických informací a služeb</t>
  </si>
  <si>
    <t>Botanická zahrada a arboretum</t>
  </si>
  <si>
    <t>Školský zemědělský podnik Lednice</t>
  </si>
  <si>
    <t>Školský zemědělský podnik Žabčice</t>
  </si>
  <si>
    <t>Školský zemědělský podnik Masarykův les Křtiny</t>
  </si>
  <si>
    <t>Institut celoživotního vzdělávání</t>
  </si>
  <si>
    <t>Centrum transferu technologií</t>
  </si>
  <si>
    <t>G32</t>
  </si>
  <si>
    <t>Vojenský veterinární ústav Hlučín</t>
  </si>
  <si>
    <t>G33</t>
  </si>
  <si>
    <t>Vojenský zdravotní ústav Praha</t>
  </si>
  <si>
    <t>G35</t>
  </si>
  <si>
    <t>Vojenský obor Univerzita Karlova Fakulta tělesné výchovy a sportu</t>
  </si>
  <si>
    <t>G38</t>
  </si>
  <si>
    <t>Univerzita obrany  (nerozlišená součást)</t>
  </si>
  <si>
    <t>G42</t>
  </si>
  <si>
    <t>Univerzita obrany - Fakulta vojenského leadershipu</t>
  </si>
  <si>
    <t>G43</t>
  </si>
  <si>
    <t>Univerzita obrany - Fakulta vojenských technologií Brno</t>
  </si>
  <si>
    <t>G44</t>
  </si>
  <si>
    <t>Univerzita obrany - Fakulta vojenského zdravotnictví Hradec Králové</t>
  </si>
  <si>
    <t>G45</t>
  </si>
  <si>
    <t>Univerzita obrany - Ústav ochrany proti zbraním hromadného ničení</t>
  </si>
  <si>
    <t>K01</t>
  </si>
  <si>
    <t>Policie ČR Kriminalistický ústav Praha</t>
  </si>
  <si>
    <t>K02</t>
  </si>
  <si>
    <t>Generální ředitelství HZS - Technický ústav požární ochrany</t>
  </si>
  <si>
    <t>K06</t>
  </si>
  <si>
    <t>Útvar zvláštních činností</t>
  </si>
  <si>
    <t>K13</t>
  </si>
  <si>
    <t>Generální ředitelství HZS - Institut ochrany obyvatelstva</t>
  </si>
  <si>
    <t>Fakulta umění</t>
  </si>
  <si>
    <t>Centrum excelence IT4Innovations, divize OU, Ústav pro výzkum a aplikace fuzzy modelování</t>
  </si>
  <si>
    <t>Univerzitní knihovna</t>
  </si>
  <si>
    <t>Centrum informačních a poradenských služeb</t>
  </si>
  <si>
    <t>Evropský výzkumný institut sociální práce</t>
  </si>
  <si>
    <t>Filozoficko-přírodovědecká fakulta</t>
  </si>
  <si>
    <t>Fakulta veřejných politik v Opavě</t>
  </si>
  <si>
    <t>Obchodně podnikatelská fakulta v Karviné</t>
  </si>
  <si>
    <t>Matematický ústav v Opavě</t>
  </si>
  <si>
    <t>Vzdělávací centrum v Krnově</t>
  </si>
  <si>
    <t>Rektorát - administrativní a právní útvar SU</t>
  </si>
  <si>
    <t>Fakulta mechatroniky, informatiky a mezioborových studií</t>
  </si>
  <si>
    <t>Fakulta textilní</t>
  </si>
  <si>
    <t>Fakulta přírodovědně-humanitní a pedagogická</t>
  </si>
  <si>
    <t>Fakulta umění a architektury</t>
  </si>
  <si>
    <t>Ústav zdravotnických studií</t>
  </si>
  <si>
    <t>Ústav pro nanomateriály, pokročilé technologie a inovace</t>
  </si>
  <si>
    <t>Centrum dalšího vzdělávání</t>
  </si>
  <si>
    <t>Rektorát (univerzitní knihovna, koleje a menzy)</t>
  </si>
  <si>
    <t>Fakulta informatiky a managementu</t>
  </si>
  <si>
    <t>Ústav sociální práce</t>
  </si>
  <si>
    <t>Fakulta strojního inženýrství</t>
  </si>
  <si>
    <t>Fakulta zdravotnických studií</t>
  </si>
  <si>
    <t>Fakulta sociálně ekonomická</t>
  </si>
  <si>
    <t>Fakulta umění a designu</t>
  </si>
  <si>
    <t>Ústav techniky a řízení výroby</t>
  </si>
  <si>
    <t>Ústav slovansko-germánských studií</t>
  </si>
  <si>
    <t>Centrum informatiky</t>
  </si>
  <si>
    <t>Univerzitní poradenské centrum</t>
  </si>
  <si>
    <t>Ústav humanitních studií</t>
  </si>
  <si>
    <t>Vědecká knihovna</t>
  </si>
  <si>
    <t>Výzkumné centrum konkurenceschopného a udržitelného rozvoje regionu</t>
  </si>
  <si>
    <t>Knihkupectví UJEP</t>
  </si>
  <si>
    <t>1. lékařská fakulta</t>
  </si>
  <si>
    <t>3. lékařská fakulta</t>
  </si>
  <si>
    <t>2. lékařská fakulta</t>
  </si>
  <si>
    <t>Lékařská fakulta v Plzni</t>
  </si>
  <si>
    <t>Lékařská fakulta v Hradci Králové</t>
  </si>
  <si>
    <t>Farmaceutická fakulta v Hradci Králové</t>
  </si>
  <si>
    <t>Fakulta sociálních věd</t>
  </si>
  <si>
    <t>Fakulta humanitních studií</t>
  </si>
  <si>
    <t>Katolická teologická fakulta</t>
  </si>
  <si>
    <t>Evangelická teologická fakulta</t>
  </si>
  <si>
    <t>Husitská teologická fakulta</t>
  </si>
  <si>
    <t>Matematicko-fyzikální fakulta</t>
  </si>
  <si>
    <t>Fakulta tělesné výchovy a sportu</t>
  </si>
  <si>
    <t>Centrum pro přenos poznatků a technologií</t>
  </si>
  <si>
    <t>Ústav dějin Univerzity Karlovy a archiv Univerzity Karlovy</t>
  </si>
  <si>
    <t>Centrum pro teoretická studia</t>
  </si>
  <si>
    <t>Centrum pro ekonomický výzkum a doktorská studia</t>
  </si>
  <si>
    <t>Evropské informační středisko</t>
  </si>
  <si>
    <t>Ústav jazykové a odborné přípravy</t>
  </si>
  <si>
    <t>Centrum pro otázky životního prostředí</t>
  </si>
  <si>
    <t>Agentura Rady vysokých škol</t>
  </si>
  <si>
    <t>Arcibiskupský seminář</t>
  </si>
  <si>
    <t>Nakladatelství Karolinum</t>
  </si>
  <si>
    <t>Správa budov a zařízení</t>
  </si>
  <si>
    <t>Sportovní centrum</t>
  </si>
  <si>
    <t>Fakulta zdravotnických věd</t>
  </si>
  <si>
    <t>Cyrilometodějská teologická fakulta</t>
  </si>
  <si>
    <t>Fakulta tělesné kultury</t>
  </si>
  <si>
    <t>Společná laboratoř optiky Univerzity Palackého a Fyzikálního ústavu AV ČR</t>
  </si>
  <si>
    <t>Informační centrum Univerzity Palackého</t>
  </si>
  <si>
    <t>Centrum celouniverzitních aktivit Univerzity Palackého</t>
  </si>
  <si>
    <t>Rektorát Univerzity Palackého</t>
  </si>
  <si>
    <t>Fakulta restaurování</t>
  </si>
  <si>
    <t>Fakulta filozofická</t>
  </si>
  <si>
    <t>Fakulta chemicko-technologická</t>
  </si>
  <si>
    <t>Fakulta ekonomicko-správní</t>
  </si>
  <si>
    <t>Dopravní fakulta Jana Pernera</t>
  </si>
  <si>
    <t>Fakulta elektrotechniky a informatiky</t>
  </si>
  <si>
    <t>Centrum výzkumné a znalecké činnosti</t>
  </si>
  <si>
    <t>Univerzitní knihovna Univerzity Pardubice</t>
  </si>
  <si>
    <t>Informační centrum</t>
  </si>
  <si>
    <t>Katedra tělovýchovy a sportu Univerzity Pardubice</t>
  </si>
  <si>
    <t>Univerzitní ekologické centrum Univerzity Pardubice</t>
  </si>
  <si>
    <t>Společná laboratoř chemie pevných látek Akademie věd České republiky a Univerzity Pardubice</t>
  </si>
  <si>
    <t>Společná laboratoř NMR spektroskopie Výzkumného ústavu organických syntéz a.s., Pardubice-Rybitví a Univerzity Pardubice</t>
  </si>
  <si>
    <t>Společná laboratoř analýzy a hodnocení polymerů SYNPO a.s, Pardubice-Rybitví a Fakulty chemicko-technologické Univerzity Pardubice</t>
  </si>
  <si>
    <t>Společné pracoviště aplikované medicíny Nemocnice Pardubice a Fakulty chemicko-technologické Univerzity Pardubice</t>
  </si>
  <si>
    <t>Přepravní laboratoř, společné pracoviště NH-TRANS Ostrava a Dopravní fakulty Jana Pernera Univerzity Pardubice</t>
  </si>
  <si>
    <t>Ústav elektrotechniky a informatiky</t>
  </si>
  <si>
    <t>Centrum materiálového výzkumu</t>
  </si>
  <si>
    <t>Tiskařské středisko UP</t>
  </si>
  <si>
    <t>Odbor výstavby a údržby Univerzity Pardubice</t>
  </si>
  <si>
    <t>Středisko dopravy Univerzity Pardubice</t>
  </si>
  <si>
    <t>Fakulta technologická</t>
  </si>
  <si>
    <t>Fakulta managementu a ekonomiky</t>
  </si>
  <si>
    <t>Fakulta multimediálních komunikací</t>
  </si>
  <si>
    <t>Fakulta aplikované informatiky</t>
  </si>
  <si>
    <t>Fakulta logistiky a krizového řízení</t>
  </si>
  <si>
    <t>Univerzitní institut</t>
  </si>
  <si>
    <t>Knihovna UTB</t>
  </si>
  <si>
    <t>Fakulta veterinárního lékařství</t>
  </si>
  <si>
    <t>Fakulta veterinární hygieny a ekologie</t>
  </si>
  <si>
    <t>Farmaceutická fakulta</t>
  </si>
  <si>
    <t>Školský zemědělský podnik Nový Jičín</t>
  </si>
  <si>
    <t>L39</t>
  </si>
  <si>
    <t>Výzkumný ústav stomatologický Praha 2 - Vinohrady</t>
  </si>
  <si>
    <t>Fakulta bezpečnostního inženýrství</t>
  </si>
  <si>
    <t>Hornicko-geologická fakulta</t>
  </si>
  <si>
    <t>Fakulta metalurgie a materiálového inženýrství</t>
  </si>
  <si>
    <t>Katedra matematiky a deskriptivní geometrie</t>
  </si>
  <si>
    <t>Katedra jazyků</t>
  </si>
  <si>
    <t>Katedra společenských věd</t>
  </si>
  <si>
    <t>Katedra tělesné výchovy a sportu</t>
  </si>
  <si>
    <t>Centrum nanotechnologií</t>
  </si>
  <si>
    <t>Výzkumné energetické centrum</t>
  </si>
  <si>
    <t>Archiv VŠB-TUO</t>
  </si>
  <si>
    <t>Centrum pokročilých inovačních technologií</t>
  </si>
  <si>
    <t>Středisko vzdělávání</t>
  </si>
  <si>
    <t>Institut environmentálních technologií</t>
  </si>
  <si>
    <t>Katedra učitelství odborných předmětů</t>
  </si>
  <si>
    <t>Centrum energetického využití netradičních zdrojů energie</t>
  </si>
  <si>
    <t>IT4Innovations</t>
  </si>
  <si>
    <t>Centrum podpory inovací</t>
  </si>
  <si>
    <t>Katedra fyziky</t>
  </si>
  <si>
    <t>Ediční středisko</t>
  </si>
  <si>
    <t>Fakulta financí a účetnictví</t>
  </si>
  <si>
    <t>Fakulta mezinárodních vztahů</t>
  </si>
  <si>
    <t>Fakulta podnikohospodářská</t>
  </si>
  <si>
    <t>Fakulta informatiky a statistiky</t>
  </si>
  <si>
    <t>Fakulta národohospodářská</t>
  </si>
  <si>
    <t>Fakulta managementu v Jindřichově Hradci</t>
  </si>
  <si>
    <t>Fakulta chemické technologie</t>
  </si>
  <si>
    <t>Fakulta technologie ochrany prostředí</t>
  </si>
  <si>
    <t>Fakulta potravinářské a biochemické technologie</t>
  </si>
  <si>
    <t>Fakulta chemicko-inženýrská</t>
  </si>
  <si>
    <t>Centrální laboratoře</t>
  </si>
  <si>
    <t>Výpočetní centrum</t>
  </si>
  <si>
    <t>Rektorát (Školní knihovna)</t>
  </si>
  <si>
    <t>Fakulta elektrotechniky a komunikačních technologií</t>
  </si>
  <si>
    <t>Fakulta chemická</t>
  </si>
  <si>
    <t>Fakulta výtvarných umění</t>
  </si>
  <si>
    <t>Fakulta podnikatelská</t>
  </si>
  <si>
    <t>Ústav soudního inženýrství</t>
  </si>
  <si>
    <t>Centrum sportovních aktivit</t>
  </si>
  <si>
    <t>Centrum výpočetních a informačních služeb</t>
  </si>
  <si>
    <t>Rektorát včetně hospodářské a vnitřní správy</t>
  </si>
  <si>
    <t>Fakulta právnická</t>
  </si>
  <si>
    <t>Fakulta designu a umění Ladislava Sutnara</t>
  </si>
  <si>
    <t>Fakulta pedagogická</t>
  </si>
  <si>
    <t>Fakulta ekonomická</t>
  </si>
  <si>
    <t>Fakulta aplikovaných věd</t>
  </si>
  <si>
    <t>Centrum informatizace a výpočetní techniky</t>
  </si>
  <si>
    <t>Ústav celoživotního vzdělávání</t>
  </si>
  <si>
    <t>Nové technologie - výzkumné centrum</t>
  </si>
  <si>
    <t>Regionální inovační centrum elektrotechniky</t>
  </si>
  <si>
    <t>Ústav jazykové přípravy</t>
  </si>
  <si>
    <t>Projektové centrum</t>
  </si>
  <si>
    <t>Zahraniční vztahy</t>
  </si>
  <si>
    <t>Rektorát ZČU</t>
  </si>
  <si>
    <t>Vysoká škola finanční a správní, a.s.</t>
  </si>
  <si>
    <t>04274644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</si>
</sst>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45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A5" sqref="A5"/>
    </sheetView>
  </sheetViews>
  <sheetFormatPr defaultRowHeight="15" x14ac:dyDescent="0.25"/>
  <cols>
    <col min="1" max="1" width="13.42578125" customWidth="1"/>
    <col min="2" max="2" width="16.85546875" customWidth="1"/>
    <col min="3" max="3" width="73" customWidth="1"/>
    <col min="4" max="4" width="14.140625" customWidth="1"/>
    <col min="5" max="5" width="10" customWidth="1"/>
    <col min="6" max="6" width="12.5703125" customWidth="1"/>
    <col min="7" max="7" width="11.7109375" customWidth="1"/>
    <col min="8" max="8" width="14" customWidth="1"/>
    <col min="9" max="9" width="11.7109375" customWidth="1"/>
    <col min="10" max="10" width="11.28515625" customWidth="1"/>
    <col min="11" max="11" width="12.140625" customWidth="1"/>
    <col min="12" max="12" width="13.28515625" customWidth="1"/>
    <col min="13" max="14" width="12.140625" customWidth="1"/>
    <col min="15" max="15" width="11.28515625" customWidth="1"/>
    <col min="16" max="17" width="20.28515625" customWidth="1"/>
    <col min="18" max="18" width="14.7109375" customWidth="1"/>
    <col min="19" max="19" width="15.28515625" customWidth="1"/>
  </cols>
  <sheetData>
    <row r="1" spans="1:44" ht="18.75" x14ac:dyDescent="0.3">
      <c r="A1" s="1" t="s">
        <v>0</v>
      </c>
    </row>
    <row r="2" spans="1:44" ht="15.75" x14ac:dyDescent="0.25">
      <c r="A2" s="2" t="s">
        <v>1</v>
      </c>
    </row>
    <row r="3" spans="1:44" x14ac:dyDescent="0.25">
      <c r="A3" s="5" t="s">
        <v>2</v>
      </c>
      <c r="B3" s="6"/>
      <c r="C3" s="6"/>
      <c r="D3" s="5" t="s">
        <v>3</v>
      </c>
      <c r="E3" s="6"/>
      <c r="F3" s="6"/>
      <c r="G3" s="5" t="s">
        <v>4</v>
      </c>
      <c r="H3" s="6"/>
      <c r="I3" s="6"/>
      <c r="J3" s="5" t="s">
        <v>5</v>
      </c>
      <c r="K3" s="6"/>
      <c r="L3" s="6"/>
      <c r="M3" s="6"/>
      <c r="N3" s="5" t="s">
        <v>6</v>
      </c>
      <c r="O3" s="6"/>
      <c r="P3" s="6"/>
      <c r="Q3" s="6"/>
      <c r="R3" s="3" t="s">
        <v>7</v>
      </c>
      <c r="S3" s="5" t="s">
        <v>8</v>
      </c>
    </row>
    <row r="4" spans="1:44" ht="120" customHeigh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  <c r="K4" s="4" t="s">
        <v>19</v>
      </c>
      <c r="L4" s="4" t="s">
        <v>20</v>
      </c>
      <c r="M4" s="4" t="s">
        <v>21</v>
      </c>
      <c r="N4" s="4" t="s">
        <v>22</v>
      </c>
      <c r="O4" s="4" t="s">
        <v>23</v>
      </c>
      <c r="P4" s="4" t="s">
        <v>24</v>
      </c>
      <c r="Q4" s="4" t="s">
        <v>25</v>
      </c>
      <c r="R4" s="4" t="s">
        <v>26</v>
      </c>
      <c r="S4" s="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x14ac:dyDescent="0.25">
      <c r="A5" t="s">
        <v>27</v>
      </c>
      <c r="B5" t="str">
        <f>"28614950"</f>
        <v>28614950</v>
      </c>
      <c r="C5" t="s">
        <v>28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48.428980399399997</v>
      </c>
      <c r="Q5">
        <v>48.428980399399997</v>
      </c>
      <c r="R5">
        <v>27.2407</v>
      </c>
      <c r="S5">
        <f t="shared" ref="S5:S68" si="0">F5+I5+M5+Q5+R5</f>
        <v>75.669680399399994</v>
      </c>
    </row>
    <row r="6" spans="1:44" x14ac:dyDescent="0.25">
      <c r="A6" t="s">
        <v>29</v>
      </c>
      <c r="B6" t="str">
        <f>"26784246"</f>
        <v>26784246</v>
      </c>
      <c r="C6" t="s">
        <v>30</v>
      </c>
      <c r="D6">
        <v>55</v>
      </c>
      <c r="E6">
        <v>535.03860448071998</v>
      </c>
      <c r="F6">
        <v>544.88034414192998</v>
      </c>
      <c r="G6">
        <v>0</v>
      </c>
      <c r="H6">
        <v>0</v>
      </c>
      <c r="I6">
        <v>0</v>
      </c>
      <c r="J6">
        <v>1</v>
      </c>
      <c r="K6">
        <v>0</v>
      </c>
      <c r="L6">
        <v>324.23200000000003</v>
      </c>
      <c r="M6">
        <v>291.80900000000003</v>
      </c>
      <c r="N6">
        <v>0</v>
      </c>
      <c r="O6">
        <v>0</v>
      </c>
      <c r="P6">
        <v>138.02049400909999</v>
      </c>
      <c r="Q6">
        <v>138.02049400909999</v>
      </c>
      <c r="R6">
        <v>783.73199999999997</v>
      </c>
      <c r="S6">
        <f t="shared" si="0"/>
        <v>1758.44183815103</v>
      </c>
    </row>
    <row r="7" spans="1:44" x14ac:dyDescent="0.25">
      <c r="A7" t="s">
        <v>29</v>
      </c>
      <c r="B7" t="str">
        <f>"25328859"</f>
        <v>25328859</v>
      </c>
      <c r="C7" t="s">
        <v>31</v>
      </c>
      <c r="D7">
        <v>129</v>
      </c>
      <c r="E7">
        <v>1644.1790260088001</v>
      </c>
      <c r="F7">
        <v>1656.6640685375</v>
      </c>
      <c r="G7">
        <v>0</v>
      </c>
      <c r="H7">
        <v>0</v>
      </c>
      <c r="I7">
        <v>0</v>
      </c>
      <c r="J7">
        <v>2</v>
      </c>
      <c r="K7">
        <v>0</v>
      </c>
      <c r="L7">
        <v>334.30900000000003</v>
      </c>
      <c r="M7">
        <v>300.87799999999999</v>
      </c>
      <c r="N7">
        <v>0</v>
      </c>
      <c r="O7">
        <v>0</v>
      </c>
      <c r="P7">
        <v>226.3099274866</v>
      </c>
      <c r="Q7">
        <v>226.3099274866</v>
      </c>
      <c r="R7">
        <v>1231.82</v>
      </c>
      <c r="S7">
        <f t="shared" si="0"/>
        <v>3415.6719960240998</v>
      </c>
    </row>
    <row r="8" spans="1:44" x14ac:dyDescent="0.25">
      <c r="A8" t="s">
        <v>29</v>
      </c>
      <c r="B8" t="str">
        <f>"26788462"</f>
        <v>26788462</v>
      </c>
      <c r="C8" t="s">
        <v>32</v>
      </c>
      <c r="D8">
        <v>83</v>
      </c>
      <c r="E8">
        <v>408.48195216294999</v>
      </c>
      <c r="F8">
        <v>428.15099995443001</v>
      </c>
      <c r="G8">
        <v>0</v>
      </c>
      <c r="H8">
        <v>0</v>
      </c>
      <c r="I8">
        <v>0</v>
      </c>
      <c r="J8">
        <v>1</v>
      </c>
      <c r="K8">
        <v>0</v>
      </c>
      <c r="L8">
        <v>218.54599999999999</v>
      </c>
      <c r="M8">
        <v>196.691</v>
      </c>
      <c r="N8">
        <v>60</v>
      </c>
      <c r="O8">
        <v>30</v>
      </c>
      <c r="P8">
        <v>64.999000145799997</v>
      </c>
      <c r="Q8">
        <v>94.999000145799997</v>
      </c>
      <c r="R8">
        <v>788.32100000000003</v>
      </c>
      <c r="S8">
        <f t="shared" si="0"/>
        <v>1508.16200010023</v>
      </c>
    </row>
    <row r="9" spans="1:44" x14ac:dyDescent="0.25">
      <c r="A9" t="s">
        <v>27</v>
      </c>
      <c r="B9" t="str">
        <f>"61384984"</f>
        <v>61384984</v>
      </c>
      <c r="C9" t="s">
        <v>33</v>
      </c>
      <c r="D9">
        <v>280</v>
      </c>
      <c r="E9">
        <v>4220.0998074774998</v>
      </c>
      <c r="F9">
        <v>3460.4467630234999</v>
      </c>
      <c r="G9">
        <v>0</v>
      </c>
      <c r="H9">
        <v>0</v>
      </c>
      <c r="I9">
        <v>0</v>
      </c>
      <c r="J9">
        <v>2</v>
      </c>
      <c r="K9">
        <v>0</v>
      </c>
      <c r="L9">
        <v>497.27</v>
      </c>
      <c r="M9">
        <v>447.54300000000001</v>
      </c>
      <c r="N9">
        <v>0</v>
      </c>
      <c r="O9">
        <v>0</v>
      </c>
      <c r="P9">
        <v>586.31408273679995</v>
      </c>
      <c r="Q9">
        <v>586.31408273679995</v>
      </c>
      <c r="R9">
        <v>1002.91</v>
      </c>
      <c r="S9">
        <f t="shared" si="0"/>
        <v>5497.2138457602996</v>
      </c>
    </row>
    <row r="10" spans="1:44" x14ac:dyDescent="0.25">
      <c r="A10" t="s">
        <v>27</v>
      </c>
      <c r="B10" t="str">
        <f>"27266150"</f>
        <v>27266150</v>
      </c>
      <c r="C10" t="s">
        <v>34</v>
      </c>
      <c r="D10">
        <v>32</v>
      </c>
      <c r="E10">
        <v>217.40869574933001</v>
      </c>
      <c r="F10">
        <v>126.63630979726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P10">
        <v>0</v>
      </c>
      <c r="Q10">
        <v>0</v>
      </c>
      <c r="R10">
        <v>0</v>
      </c>
      <c r="S10">
        <f t="shared" si="0"/>
        <v>126.63630979726</v>
      </c>
    </row>
    <row r="11" spans="1:44" x14ac:dyDescent="0.25">
      <c r="A11" t="s">
        <v>27</v>
      </c>
      <c r="B11" t="str">
        <f>"60461446"</f>
        <v>60461446</v>
      </c>
      <c r="C11" t="s">
        <v>35</v>
      </c>
      <c r="D11">
        <v>83</v>
      </c>
      <c r="E11">
        <v>1232.7770651102001</v>
      </c>
      <c r="F11">
        <v>974.30231798028001</v>
      </c>
      <c r="G11">
        <v>0</v>
      </c>
      <c r="H11">
        <v>0</v>
      </c>
      <c r="I11">
        <v>0</v>
      </c>
      <c r="J11">
        <v>1</v>
      </c>
      <c r="K11">
        <v>0</v>
      </c>
      <c r="L11">
        <v>83.441299999999998</v>
      </c>
      <c r="M11">
        <v>75.097200000000001</v>
      </c>
      <c r="N11">
        <v>0</v>
      </c>
      <c r="O11">
        <v>0</v>
      </c>
      <c r="P11">
        <v>112.1469017055</v>
      </c>
      <c r="Q11">
        <v>112.1469017055</v>
      </c>
      <c r="R11">
        <v>268.35300000000001</v>
      </c>
      <c r="S11">
        <f t="shared" si="0"/>
        <v>1429.8994196857802</v>
      </c>
    </row>
    <row r="12" spans="1:44" x14ac:dyDescent="0.25">
      <c r="A12" t="s">
        <v>36</v>
      </c>
      <c r="B12" t="str">
        <f>"63493713"</f>
        <v>63493713</v>
      </c>
      <c r="C12" t="s">
        <v>37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31.207920586899998</v>
      </c>
      <c r="Q12">
        <v>31.207920586899998</v>
      </c>
      <c r="R12">
        <v>94.296999999999997</v>
      </c>
      <c r="S12">
        <f t="shared" si="0"/>
        <v>125.5049205869</v>
      </c>
    </row>
    <row r="13" spans="1:44" x14ac:dyDescent="0.25">
      <c r="A13" t="s">
        <v>27</v>
      </c>
      <c r="B13" t="str">
        <f>"28064933"</f>
        <v>28064933</v>
      </c>
      <c r="C13" t="s">
        <v>38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19.216182595599999</v>
      </c>
      <c r="Q13">
        <v>19.216182595599999</v>
      </c>
      <c r="R13">
        <v>13.0068</v>
      </c>
      <c r="S13">
        <f t="shared" si="0"/>
        <v>32.222982595600001</v>
      </c>
    </row>
    <row r="14" spans="1:44" x14ac:dyDescent="0.25">
      <c r="A14" t="s">
        <v>27</v>
      </c>
      <c r="B14" t="str">
        <f>"26268469"</f>
        <v>26268469</v>
      </c>
      <c r="C14" t="s">
        <v>39</v>
      </c>
      <c r="D14">
        <v>80</v>
      </c>
      <c r="E14">
        <v>528.02039993119001</v>
      </c>
      <c r="F14">
        <v>397.90453745014997</v>
      </c>
      <c r="G14">
        <v>0</v>
      </c>
      <c r="H14">
        <v>0</v>
      </c>
      <c r="I14">
        <v>0</v>
      </c>
      <c r="J14">
        <v>0</v>
      </c>
      <c r="K14">
        <v>0</v>
      </c>
      <c r="L14">
        <v>42.679699999999997</v>
      </c>
      <c r="M14">
        <v>38.411700000000003</v>
      </c>
      <c r="N14">
        <v>0</v>
      </c>
      <c r="O14">
        <v>0</v>
      </c>
      <c r="P14">
        <v>20.749276944799998</v>
      </c>
      <c r="Q14">
        <v>20.749276944799998</v>
      </c>
      <c r="R14">
        <v>41.736199999999997</v>
      </c>
      <c r="S14">
        <f t="shared" si="0"/>
        <v>498.80171439494995</v>
      </c>
    </row>
    <row r="15" spans="1:44" x14ac:dyDescent="0.25">
      <c r="A15" t="s">
        <v>40</v>
      </c>
      <c r="B15" t="str">
        <f>"75008271"</f>
        <v>75008271</v>
      </c>
      <c r="C15" t="s">
        <v>41</v>
      </c>
      <c r="D15">
        <v>1</v>
      </c>
      <c r="E15">
        <v>1.2749999761580999</v>
      </c>
      <c r="F15">
        <v>0.95999997854232999</v>
      </c>
      <c r="G15">
        <v>0</v>
      </c>
      <c r="H15">
        <v>0</v>
      </c>
      <c r="I15">
        <v>0</v>
      </c>
      <c r="J15">
        <v>0</v>
      </c>
      <c r="K15">
        <v>0</v>
      </c>
      <c r="L15">
        <v>0.96065999999999996</v>
      </c>
      <c r="M15">
        <v>0.86459399999999997</v>
      </c>
      <c r="N15">
        <v>0</v>
      </c>
      <c r="P15">
        <v>0</v>
      </c>
      <c r="Q15">
        <v>0</v>
      </c>
      <c r="R15">
        <v>26.625599999999999</v>
      </c>
      <c r="S15">
        <f t="shared" si="0"/>
        <v>28.45019397854233</v>
      </c>
    </row>
    <row r="16" spans="1:44" x14ac:dyDescent="0.25">
      <c r="A16" t="s">
        <v>42</v>
      </c>
      <c r="B16" t="str">
        <f>"68081758"</f>
        <v>68081758</v>
      </c>
      <c r="C16" t="s">
        <v>43</v>
      </c>
      <c r="D16">
        <v>146</v>
      </c>
      <c r="E16">
        <v>1426.4434941026</v>
      </c>
      <c r="F16">
        <v>1231.7233696129999</v>
      </c>
      <c r="G16">
        <v>0</v>
      </c>
      <c r="H16">
        <v>0</v>
      </c>
      <c r="I16">
        <v>0</v>
      </c>
      <c r="J16">
        <v>3</v>
      </c>
      <c r="K16">
        <v>1</v>
      </c>
      <c r="L16">
        <v>140.73699999999999</v>
      </c>
      <c r="M16">
        <v>147.28100000000001</v>
      </c>
      <c r="N16">
        <v>0</v>
      </c>
      <c r="O16">
        <v>0</v>
      </c>
      <c r="P16">
        <v>80.161933297700003</v>
      </c>
      <c r="Q16">
        <v>80.161933297700003</v>
      </c>
      <c r="R16">
        <v>362.447</v>
      </c>
      <c r="S16">
        <f t="shared" si="0"/>
        <v>1821.6133029107</v>
      </c>
    </row>
    <row r="17" spans="1:19" x14ac:dyDescent="0.25">
      <c r="A17" t="s">
        <v>42</v>
      </c>
      <c r="B17" t="str">
        <f>"67985912"</f>
        <v>67985912</v>
      </c>
      <c r="C17" t="s">
        <v>44</v>
      </c>
      <c r="D17">
        <v>502</v>
      </c>
      <c r="E17">
        <v>6041.5952737701</v>
      </c>
      <c r="F17">
        <v>4827.4271198995002</v>
      </c>
      <c r="G17">
        <v>0</v>
      </c>
      <c r="H17">
        <v>0</v>
      </c>
      <c r="I17">
        <v>0</v>
      </c>
      <c r="J17">
        <v>5</v>
      </c>
      <c r="K17">
        <v>0.35</v>
      </c>
      <c r="L17">
        <v>628.10199999999998</v>
      </c>
      <c r="M17">
        <v>584.61500000000001</v>
      </c>
      <c r="N17">
        <v>0</v>
      </c>
      <c r="O17">
        <v>0</v>
      </c>
      <c r="P17">
        <v>189.68367344649999</v>
      </c>
      <c r="Q17">
        <v>189.68367344649999</v>
      </c>
      <c r="R17">
        <v>649.85</v>
      </c>
      <c r="S17">
        <f t="shared" si="0"/>
        <v>6251.575793346</v>
      </c>
    </row>
    <row r="18" spans="1:19" x14ac:dyDescent="0.25">
      <c r="A18" t="s">
        <v>27</v>
      </c>
      <c r="B18" t="str">
        <f>"75112817"</f>
        <v>75112817</v>
      </c>
      <c r="C18" t="s">
        <v>45</v>
      </c>
      <c r="D18">
        <v>7</v>
      </c>
      <c r="E18">
        <v>14.16657990146</v>
      </c>
      <c r="F18">
        <v>7.1741429879172998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P18">
        <v>0</v>
      </c>
      <c r="Q18">
        <v>0</v>
      </c>
      <c r="R18">
        <v>0</v>
      </c>
      <c r="S18">
        <f t="shared" si="0"/>
        <v>7.1741429879172998</v>
      </c>
    </row>
    <row r="19" spans="1:19" x14ac:dyDescent="0.25">
      <c r="A19" t="s">
        <v>27</v>
      </c>
      <c r="B19" t="str">
        <f>"49368842"</f>
        <v>49368842</v>
      </c>
      <c r="C19" t="s">
        <v>46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P19">
        <v>0</v>
      </c>
      <c r="Q19">
        <v>0</v>
      </c>
      <c r="R19">
        <v>0</v>
      </c>
      <c r="S19">
        <f t="shared" si="0"/>
        <v>0</v>
      </c>
    </row>
    <row r="20" spans="1:19" x14ac:dyDescent="0.25">
      <c r="A20" t="s">
        <v>27</v>
      </c>
      <c r="B20" t="str">
        <f>"00546151"</f>
        <v>00546151</v>
      </c>
      <c r="C20" t="s">
        <v>47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10.500646227100001</v>
      </c>
      <c r="Q20">
        <v>10.500646227100001</v>
      </c>
      <c r="R20">
        <v>0</v>
      </c>
      <c r="S20">
        <f t="shared" si="0"/>
        <v>10.500646227100001</v>
      </c>
    </row>
    <row r="21" spans="1:19" x14ac:dyDescent="0.25">
      <c r="A21" t="s">
        <v>42</v>
      </c>
      <c r="B21" t="str">
        <f>"67985815"</f>
        <v>67985815</v>
      </c>
      <c r="C21" t="s">
        <v>48</v>
      </c>
      <c r="D21">
        <v>539</v>
      </c>
      <c r="E21">
        <v>14775.402669462999</v>
      </c>
      <c r="F21">
        <v>20678.070043889998</v>
      </c>
      <c r="G21">
        <v>0</v>
      </c>
      <c r="H21">
        <v>0</v>
      </c>
      <c r="I21">
        <v>0</v>
      </c>
      <c r="J21">
        <v>9.1</v>
      </c>
      <c r="K21">
        <v>0.2</v>
      </c>
      <c r="L21">
        <v>2514.6999999999998</v>
      </c>
      <c r="M21">
        <v>2287.52</v>
      </c>
      <c r="N21">
        <v>0</v>
      </c>
      <c r="P21">
        <v>0</v>
      </c>
      <c r="Q21">
        <v>0</v>
      </c>
      <c r="R21">
        <v>39.912999999999997</v>
      </c>
      <c r="S21">
        <f t="shared" si="0"/>
        <v>23005.503043889999</v>
      </c>
    </row>
    <row r="22" spans="1:19" x14ac:dyDescent="0.25">
      <c r="A22" t="s">
        <v>27</v>
      </c>
      <c r="B22" t="str">
        <f>"41601670"</f>
        <v>41601670</v>
      </c>
      <c r="C22" t="s">
        <v>49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P22">
        <v>0</v>
      </c>
      <c r="Q22">
        <v>0</v>
      </c>
      <c r="R22">
        <v>0</v>
      </c>
      <c r="S22">
        <f t="shared" si="0"/>
        <v>0</v>
      </c>
    </row>
    <row r="23" spans="1:19" x14ac:dyDescent="0.25">
      <c r="A23" t="s">
        <v>42</v>
      </c>
      <c r="B23" t="str">
        <f>"68081707"</f>
        <v>68081707</v>
      </c>
      <c r="C23" t="s">
        <v>50</v>
      </c>
      <c r="D23">
        <v>549</v>
      </c>
      <c r="E23">
        <v>16188.120248629</v>
      </c>
      <c r="F23">
        <v>22396.803662263999</v>
      </c>
      <c r="G23">
        <v>0</v>
      </c>
      <c r="H23">
        <v>0</v>
      </c>
      <c r="I23">
        <v>0</v>
      </c>
      <c r="J23">
        <v>6.41</v>
      </c>
      <c r="K23">
        <v>1.3</v>
      </c>
      <c r="L23">
        <v>2923.8</v>
      </c>
      <c r="M23">
        <v>2892.02</v>
      </c>
      <c r="N23">
        <v>10</v>
      </c>
      <c r="O23">
        <v>3.3333332538604998</v>
      </c>
      <c r="P23">
        <v>102.5283097615</v>
      </c>
      <c r="Q23">
        <v>105.86164301540001</v>
      </c>
      <c r="R23">
        <v>163.37200000000001</v>
      </c>
      <c r="S23">
        <f t="shared" si="0"/>
        <v>25558.057305279399</v>
      </c>
    </row>
    <row r="24" spans="1:19" x14ac:dyDescent="0.25">
      <c r="A24" t="s">
        <v>42</v>
      </c>
      <c r="B24" t="str">
        <f>"60077344"</f>
        <v>60077344</v>
      </c>
      <c r="C24" t="s">
        <v>51</v>
      </c>
      <c r="D24">
        <v>1729</v>
      </c>
      <c r="E24">
        <v>38679.074832803999</v>
      </c>
      <c r="F24">
        <v>36817.455987988003</v>
      </c>
      <c r="G24">
        <v>1</v>
      </c>
      <c r="H24">
        <v>1</v>
      </c>
      <c r="I24">
        <v>2000</v>
      </c>
      <c r="J24">
        <v>15.75</v>
      </c>
      <c r="K24">
        <v>3.29</v>
      </c>
      <c r="L24">
        <v>5395.65</v>
      </c>
      <c r="M24">
        <v>5351.43</v>
      </c>
      <c r="N24">
        <v>220</v>
      </c>
      <c r="O24">
        <v>158</v>
      </c>
      <c r="P24">
        <v>315.79643463399998</v>
      </c>
      <c r="Q24">
        <v>473.79643463399998</v>
      </c>
      <c r="R24">
        <v>1341.55</v>
      </c>
      <c r="S24">
        <f t="shared" si="0"/>
        <v>45984.232422622008</v>
      </c>
    </row>
    <row r="25" spans="1:19" x14ac:dyDescent="0.25">
      <c r="A25" t="s">
        <v>42</v>
      </c>
      <c r="B25" t="str">
        <f>"86652036"</f>
        <v>86652036</v>
      </c>
      <c r="C25" t="s">
        <v>52</v>
      </c>
      <c r="D25">
        <v>155</v>
      </c>
      <c r="E25">
        <v>3949.1612461970999</v>
      </c>
      <c r="F25">
        <v>3935.5781855795999</v>
      </c>
      <c r="G25">
        <v>0</v>
      </c>
      <c r="H25">
        <v>0</v>
      </c>
      <c r="I25">
        <v>0</v>
      </c>
      <c r="J25">
        <v>3.12</v>
      </c>
      <c r="K25">
        <v>0.28000000000000003</v>
      </c>
      <c r="L25">
        <v>614.22500000000002</v>
      </c>
      <c r="M25">
        <v>577.02800000000002</v>
      </c>
      <c r="N25">
        <v>10</v>
      </c>
      <c r="O25">
        <v>5</v>
      </c>
      <c r="P25">
        <v>97.403994402600006</v>
      </c>
      <c r="Q25">
        <v>102.40399440260001</v>
      </c>
      <c r="R25">
        <v>594.86199999999997</v>
      </c>
      <c r="S25">
        <f t="shared" si="0"/>
        <v>5209.8721799821997</v>
      </c>
    </row>
    <row r="26" spans="1:19" x14ac:dyDescent="0.25">
      <c r="A26" t="s">
        <v>53</v>
      </c>
      <c r="B26" t="str">
        <f>"00064572"</f>
        <v>00064572</v>
      </c>
      <c r="C26" t="s">
        <v>54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P26">
        <v>0</v>
      </c>
      <c r="Q26">
        <v>0</v>
      </c>
      <c r="R26">
        <v>0</v>
      </c>
      <c r="S26">
        <f t="shared" si="0"/>
        <v>0</v>
      </c>
    </row>
    <row r="27" spans="1:19" x14ac:dyDescent="0.25">
      <c r="A27" t="s">
        <v>42</v>
      </c>
      <c r="B27" t="str">
        <f>"67985939"</f>
        <v>67985939</v>
      </c>
      <c r="C27" t="s">
        <v>55</v>
      </c>
      <c r="D27">
        <v>945</v>
      </c>
      <c r="E27">
        <v>24543.092042135999</v>
      </c>
      <c r="F27">
        <v>23608.813827196002</v>
      </c>
      <c r="G27">
        <v>1</v>
      </c>
      <c r="H27">
        <v>1</v>
      </c>
      <c r="I27">
        <v>2000</v>
      </c>
      <c r="J27">
        <v>8</v>
      </c>
      <c r="K27">
        <v>0.2</v>
      </c>
      <c r="L27">
        <v>2623.48</v>
      </c>
      <c r="M27">
        <v>2389.96</v>
      </c>
      <c r="N27">
        <v>0</v>
      </c>
      <c r="O27">
        <v>0</v>
      </c>
      <c r="P27">
        <v>267.13644001770001</v>
      </c>
      <c r="Q27">
        <v>267.13644001770001</v>
      </c>
      <c r="R27">
        <v>1191.23</v>
      </c>
      <c r="S27">
        <f t="shared" si="0"/>
        <v>29457.140267213701</v>
      </c>
    </row>
    <row r="28" spans="1:19" x14ac:dyDescent="0.25">
      <c r="A28" t="s">
        <v>56</v>
      </c>
      <c r="B28" t="str">
        <f>"49366378"</f>
        <v>49366378</v>
      </c>
      <c r="C28" t="s">
        <v>57</v>
      </c>
      <c r="D28">
        <v>6</v>
      </c>
      <c r="E28">
        <v>22.706000506877999</v>
      </c>
      <c r="F28">
        <v>30.4139996171</v>
      </c>
      <c r="G28">
        <v>0</v>
      </c>
      <c r="H28">
        <v>0</v>
      </c>
      <c r="I28">
        <v>0</v>
      </c>
      <c r="J28">
        <v>1</v>
      </c>
      <c r="K28">
        <v>0</v>
      </c>
      <c r="L28">
        <v>23.289899999999999</v>
      </c>
      <c r="M28">
        <v>20.960899999999999</v>
      </c>
      <c r="N28">
        <v>0</v>
      </c>
      <c r="O28">
        <v>0</v>
      </c>
      <c r="P28">
        <v>57.4175335698</v>
      </c>
      <c r="Q28">
        <v>57.4175335698</v>
      </c>
      <c r="R28">
        <v>125.68600000000001</v>
      </c>
      <c r="S28">
        <f t="shared" si="0"/>
        <v>234.47843318690002</v>
      </c>
    </row>
    <row r="29" spans="1:19" x14ac:dyDescent="0.25">
      <c r="A29" t="s">
        <v>58</v>
      </c>
      <c r="B29" t="str">
        <f>"45249130"</f>
        <v>45249130</v>
      </c>
      <c r="C29" t="s">
        <v>59</v>
      </c>
      <c r="D29">
        <v>8</v>
      </c>
      <c r="E29">
        <v>153.01399962305999</v>
      </c>
      <c r="F29">
        <v>116.13881826278001</v>
      </c>
      <c r="G29">
        <v>0</v>
      </c>
      <c r="H29">
        <v>0</v>
      </c>
      <c r="I29">
        <v>0</v>
      </c>
      <c r="J29">
        <v>1</v>
      </c>
      <c r="K29">
        <v>0</v>
      </c>
      <c r="L29">
        <v>26.827200000000001</v>
      </c>
      <c r="M29">
        <v>24.144500000000001</v>
      </c>
      <c r="N29">
        <v>0</v>
      </c>
      <c r="O29">
        <v>0</v>
      </c>
      <c r="P29">
        <v>60.252708051200003</v>
      </c>
      <c r="Q29">
        <v>60.252708051200003</v>
      </c>
      <c r="R29">
        <v>215.40299999999999</v>
      </c>
      <c r="S29">
        <f t="shared" si="0"/>
        <v>415.93902631397998</v>
      </c>
    </row>
    <row r="30" spans="1:19" x14ac:dyDescent="0.25">
      <c r="A30" t="s">
        <v>60</v>
      </c>
      <c r="B30" t="str">
        <f>"44994575"</f>
        <v>44994575</v>
      </c>
      <c r="C30" t="s">
        <v>61</v>
      </c>
      <c r="D30">
        <v>54</v>
      </c>
      <c r="E30">
        <v>1122.6078910849999</v>
      </c>
      <c r="F30">
        <v>865.81051996917995</v>
      </c>
      <c r="G30">
        <v>0</v>
      </c>
      <c r="H30">
        <v>0</v>
      </c>
      <c r="I30">
        <v>0</v>
      </c>
      <c r="J30">
        <v>2</v>
      </c>
      <c r="K30">
        <v>0</v>
      </c>
      <c r="L30">
        <v>416.97500000000002</v>
      </c>
      <c r="M30">
        <v>375.27699999999999</v>
      </c>
      <c r="N30">
        <v>30</v>
      </c>
      <c r="O30">
        <v>14</v>
      </c>
      <c r="P30">
        <v>1404.4194302907999</v>
      </c>
      <c r="Q30">
        <v>1418.4194302907999</v>
      </c>
      <c r="R30">
        <v>5203.2299999999996</v>
      </c>
      <c r="S30">
        <f t="shared" si="0"/>
        <v>7862.7369502599795</v>
      </c>
    </row>
    <row r="31" spans="1:19" x14ac:dyDescent="0.25">
      <c r="A31" t="s">
        <v>27</v>
      </c>
      <c r="B31" t="str">
        <f>"25473361"</f>
        <v>25473361</v>
      </c>
      <c r="C31" t="s">
        <v>62</v>
      </c>
      <c r="D31">
        <v>8</v>
      </c>
      <c r="E31">
        <v>119.6939997673</v>
      </c>
      <c r="F31">
        <v>96.018997907639005</v>
      </c>
      <c r="G31">
        <v>0</v>
      </c>
      <c r="H31">
        <v>0</v>
      </c>
      <c r="I31">
        <v>0</v>
      </c>
      <c r="J31">
        <v>0</v>
      </c>
      <c r="K31">
        <v>0</v>
      </c>
      <c r="L31">
        <v>32.754800000000003</v>
      </c>
      <c r="M31">
        <v>29.479299999999999</v>
      </c>
      <c r="N31">
        <v>0</v>
      </c>
      <c r="P31">
        <v>0</v>
      </c>
      <c r="Q31">
        <v>0</v>
      </c>
      <c r="R31">
        <v>0</v>
      </c>
      <c r="S31">
        <f t="shared" si="0"/>
        <v>125.498297907639</v>
      </c>
    </row>
    <row r="32" spans="1:19" x14ac:dyDescent="0.25">
      <c r="A32" t="s">
        <v>63</v>
      </c>
      <c r="B32" t="str">
        <f>"28645413"</f>
        <v>28645413</v>
      </c>
      <c r="C32" t="s">
        <v>64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1.2</v>
      </c>
      <c r="K32">
        <v>0</v>
      </c>
      <c r="L32">
        <v>0</v>
      </c>
      <c r="M32">
        <v>0</v>
      </c>
      <c r="N32">
        <v>0</v>
      </c>
      <c r="O32">
        <v>0</v>
      </c>
      <c r="P32">
        <v>73.777540391700001</v>
      </c>
      <c r="Q32">
        <v>73.777540391700001</v>
      </c>
      <c r="R32">
        <v>206.86099999999999</v>
      </c>
      <c r="S32">
        <f t="shared" si="0"/>
        <v>280.63854039169996</v>
      </c>
    </row>
    <row r="33" spans="1:19" x14ac:dyDescent="0.25">
      <c r="A33" t="s">
        <v>65</v>
      </c>
      <c r="B33" t="str">
        <f>"00209775"</f>
        <v>00209775</v>
      </c>
      <c r="C33" t="s">
        <v>66</v>
      </c>
      <c r="D33">
        <v>65</v>
      </c>
      <c r="E33">
        <v>593.36669557434004</v>
      </c>
      <c r="F33">
        <v>520.45599807055999</v>
      </c>
      <c r="G33">
        <v>0</v>
      </c>
      <c r="H33">
        <v>0</v>
      </c>
      <c r="I33">
        <v>0</v>
      </c>
      <c r="J33">
        <v>0</v>
      </c>
      <c r="K33">
        <v>0</v>
      </c>
      <c r="L33">
        <v>70.483000000000004</v>
      </c>
      <c r="M33">
        <v>63.434699999999999</v>
      </c>
      <c r="N33">
        <v>0</v>
      </c>
      <c r="O33">
        <v>0</v>
      </c>
      <c r="P33">
        <v>62.751861853199998</v>
      </c>
      <c r="Q33">
        <v>62.751861853199998</v>
      </c>
      <c r="R33">
        <v>101.782</v>
      </c>
      <c r="S33">
        <f t="shared" si="0"/>
        <v>748.42455992376006</v>
      </c>
    </row>
    <row r="34" spans="1:19" x14ac:dyDescent="0.25">
      <c r="A34" t="s">
        <v>63</v>
      </c>
      <c r="B34" t="str">
        <f>"28778758"</f>
        <v>28778758</v>
      </c>
      <c r="C34" t="s">
        <v>67</v>
      </c>
      <c r="D34">
        <v>16</v>
      </c>
      <c r="E34">
        <v>206.51414425373</v>
      </c>
      <c r="F34">
        <v>219.18201548011999</v>
      </c>
      <c r="G34">
        <v>0</v>
      </c>
      <c r="H34">
        <v>0</v>
      </c>
      <c r="I34">
        <v>0</v>
      </c>
      <c r="J34">
        <v>0</v>
      </c>
      <c r="K34">
        <v>0</v>
      </c>
      <c r="L34">
        <v>56.024500000000003</v>
      </c>
      <c r="M34">
        <v>50.4221</v>
      </c>
      <c r="N34">
        <v>10</v>
      </c>
      <c r="O34">
        <v>6</v>
      </c>
      <c r="P34">
        <v>191.9728143239</v>
      </c>
      <c r="Q34">
        <v>197.9728143239</v>
      </c>
      <c r="R34">
        <v>1020.85</v>
      </c>
      <c r="S34">
        <f t="shared" si="0"/>
        <v>1488.4269298040199</v>
      </c>
    </row>
    <row r="35" spans="1:19" x14ac:dyDescent="0.25">
      <c r="A35" t="s">
        <v>27</v>
      </c>
      <c r="B35" t="str">
        <f>"26995140"</f>
        <v>26995140</v>
      </c>
      <c r="C35" t="s">
        <v>68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P35">
        <v>0</v>
      </c>
      <c r="Q35">
        <v>0</v>
      </c>
      <c r="R35">
        <v>0</v>
      </c>
      <c r="S35">
        <f t="shared" si="0"/>
        <v>0</v>
      </c>
    </row>
    <row r="36" spans="1:19" x14ac:dyDescent="0.25">
      <c r="A36" t="s">
        <v>36</v>
      </c>
      <c r="B36" t="str">
        <f>"22686860"</f>
        <v>22686860</v>
      </c>
      <c r="C36" t="s">
        <v>69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163.43205787869999</v>
      </c>
      <c r="Q36">
        <v>163.43205787869999</v>
      </c>
      <c r="R36">
        <v>257.31099999999998</v>
      </c>
      <c r="S36">
        <f t="shared" si="0"/>
        <v>420.74305787869997</v>
      </c>
    </row>
    <row r="37" spans="1:19" x14ac:dyDescent="0.25">
      <c r="A37" t="s">
        <v>27</v>
      </c>
      <c r="B37" t="str">
        <f>"00237752"</f>
        <v>00237752</v>
      </c>
      <c r="C37" t="s">
        <v>70</v>
      </c>
      <c r="D37">
        <v>24</v>
      </c>
      <c r="E37">
        <v>320.74967739287001</v>
      </c>
      <c r="F37">
        <v>279.46442576917002</v>
      </c>
      <c r="G37">
        <v>0</v>
      </c>
      <c r="H37">
        <v>0</v>
      </c>
      <c r="I37">
        <v>0</v>
      </c>
      <c r="J37">
        <v>1</v>
      </c>
      <c r="K37">
        <v>0</v>
      </c>
      <c r="L37">
        <v>39.901400000000002</v>
      </c>
      <c r="M37">
        <v>35.911299999999997</v>
      </c>
      <c r="N37">
        <v>0</v>
      </c>
      <c r="O37">
        <v>0</v>
      </c>
      <c r="P37">
        <v>20.056234293799999</v>
      </c>
      <c r="Q37">
        <v>20.056234293799999</v>
      </c>
      <c r="R37">
        <v>15.236000000000001</v>
      </c>
      <c r="S37">
        <f t="shared" si="0"/>
        <v>350.66796006297</v>
      </c>
    </row>
    <row r="38" spans="1:19" x14ac:dyDescent="0.25">
      <c r="A38" t="s">
        <v>42</v>
      </c>
      <c r="B38" t="str">
        <f>"67179843"</f>
        <v>67179843</v>
      </c>
      <c r="C38" t="s">
        <v>71</v>
      </c>
      <c r="D38">
        <v>503</v>
      </c>
      <c r="E38">
        <v>10797.588914024</v>
      </c>
      <c r="F38">
        <v>10183.294601612</v>
      </c>
      <c r="G38">
        <v>0</v>
      </c>
      <c r="H38">
        <v>0</v>
      </c>
      <c r="I38">
        <v>0</v>
      </c>
      <c r="J38">
        <v>4</v>
      </c>
      <c r="K38">
        <v>0</v>
      </c>
      <c r="L38">
        <v>880.03899999999999</v>
      </c>
      <c r="M38">
        <v>792.03499999999997</v>
      </c>
      <c r="N38">
        <v>100</v>
      </c>
      <c r="O38">
        <v>11.111110687256</v>
      </c>
      <c r="P38">
        <v>201.4233959284</v>
      </c>
      <c r="Q38">
        <v>212.53450661560001</v>
      </c>
      <c r="R38">
        <v>861.14599999999996</v>
      </c>
      <c r="S38">
        <f t="shared" si="0"/>
        <v>12049.010108227601</v>
      </c>
    </row>
    <row r="39" spans="1:19" x14ac:dyDescent="0.25">
      <c r="A39" t="s">
        <v>63</v>
      </c>
      <c r="B39" t="str">
        <f>"26722445"</f>
        <v>26722445</v>
      </c>
      <c r="C39" t="s">
        <v>72</v>
      </c>
      <c r="D39">
        <v>155</v>
      </c>
      <c r="E39">
        <v>2020.0770762975001</v>
      </c>
      <c r="F39">
        <v>1770.8226684148001</v>
      </c>
      <c r="G39">
        <v>0</v>
      </c>
      <c r="H39">
        <v>0</v>
      </c>
      <c r="I39">
        <v>0</v>
      </c>
      <c r="J39">
        <v>2</v>
      </c>
      <c r="K39">
        <v>0</v>
      </c>
      <c r="L39">
        <v>598.47799999999995</v>
      </c>
      <c r="M39">
        <v>538.63</v>
      </c>
      <c r="N39">
        <v>10</v>
      </c>
      <c r="O39">
        <v>10</v>
      </c>
      <c r="P39">
        <v>1319.2591893889</v>
      </c>
      <c r="Q39">
        <v>1329.2591893889</v>
      </c>
      <c r="R39">
        <v>5870.07</v>
      </c>
      <c r="S39">
        <f t="shared" si="0"/>
        <v>9508.7818578037004</v>
      </c>
    </row>
    <row r="40" spans="1:19" x14ac:dyDescent="0.25">
      <c r="A40" t="s">
        <v>27</v>
      </c>
      <c r="B40" t="str">
        <f>"63839172"</f>
        <v>63839172</v>
      </c>
      <c r="C40" t="s">
        <v>73</v>
      </c>
      <c r="D40">
        <v>75</v>
      </c>
      <c r="E40">
        <v>969.46737121462002</v>
      </c>
      <c r="F40">
        <v>693.31063694834995</v>
      </c>
      <c r="G40">
        <v>0</v>
      </c>
      <c r="H40">
        <v>0</v>
      </c>
      <c r="I40">
        <v>0</v>
      </c>
      <c r="J40">
        <v>1</v>
      </c>
      <c r="K40">
        <v>0</v>
      </c>
      <c r="L40">
        <v>352.33499999999998</v>
      </c>
      <c r="M40">
        <v>317.10199999999998</v>
      </c>
      <c r="N40">
        <v>0</v>
      </c>
      <c r="O40">
        <v>0</v>
      </c>
      <c r="P40">
        <v>125.6507327536</v>
      </c>
      <c r="Q40">
        <v>125.6507327536</v>
      </c>
      <c r="R40">
        <v>1865.97</v>
      </c>
      <c r="S40">
        <f t="shared" si="0"/>
        <v>3002.0333697019501</v>
      </c>
    </row>
    <row r="41" spans="1:19" x14ac:dyDescent="0.25">
      <c r="A41" t="s">
        <v>63</v>
      </c>
      <c r="B41" t="str">
        <f>"26316919"</f>
        <v>26316919</v>
      </c>
      <c r="C41" t="s">
        <v>74</v>
      </c>
      <c r="D41">
        <v>99</v>
      </c>
      <c r="E41">
        <v>1120.2463811757</v>
      </c>
      <c r="F41">
        <v>803.50292009617999</v>
      </c>
      <c r="G41">
        <v>0</v>
      </c>
      <c r="H41">
        <v>0</v>
      </c>
      <c r="I41">
        <v>0</v>
      </c>
      <c r="J41">
        <v>2</v>
      </c>
      <c r="K41">
        <v>0</v>
      </c>
      <c r="L41">
        <v>311.59699999999998</v>
      </c>
      <c r="M41">
        <v>280.43700000000001</v>
      </c>
      <c r="N41">
        <v>30</v>
      </c>
      <c r="O41">
        <v>26.07142829895</v>
      </c>
      <c r="P41">
        <v>742.05966757730005</v>
      </c>
      <c r="Q41">
        <v>768.13109587619999</v>
      </c>
      <c r="R41">
        <v>3225.99</v>
      </c>
      <c r="S41">
        <f t="shared" si="0"/>
        <v>5078.0610159723801</v>
      </c>
    </row>
    <row r="42" spans="1:19" x14ac:dyDescent="0.25">
      <c r="A42" t="s">
        <v>27</v>
      </c>
      <c r="B42" t="str">
        <f>"26633191"</f>
        <v>26633191</v>
      </c>
      <c r="C42" t="s">
        <v>75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P42">
        <v>0</v>
      </c>
      <c r="Q42">
        <v>0</v>
      </c>
      <c r="R42">
        <v>0</v>
      </c>
      <c r="S42">
        <f t="shared" si="0"/>
        <v>0</v>
      </c>
    </row>
    <row r="43" spans="1:19" x14ac:dyDescent="0.25">
      <c r="A43" t="s">
        <v>58</v>
      </c>
      <c r="B43" t="str">
        <f>"00025798"</f>
        <v>00025798</v>
      </c>
      <c r="C43" t="s">
        <v>76</v>
      </c>
      <c r="D43">
        <v>579</v>
      </c>
      <c r="E43">
        <v>12752.471442442</v>
      </c>
      <c r="F43">
        <v>11616.584322922001</v>
      </c>
      <c r="G43">
        <v>0</v>
      </c>
      <c r="H43">
        <v>0</v>
      </c>
      <c r="I43">
        <v>0</v>
      </c>
      <c r="J43">
        <v>8</v>
      </c>
      <c r="K43">
        <v>1.7</v>
      </c>
      <c r="L43">
        <v>3744.37</v>
      </c>
      <c r="M43">
        <v>3719.62</v>
      </c>
      <c r="N43">
        <v>20</v>
      </c>
      <c r="O43">
        <v>10.333333492278999</v>
      </c>
      <c r="P43">
        <v>275.43195053710002</v>
      </c>
      <c r="Q43">
        <v>285.76528402930001</v>
      </c>
      <c r="R43">
        <v>9165.7199999999993</v>
      </c>
      <c r="S43">
        <f t="shared" si="0"/>
        <v>24787.689606951299</v>
      </c>
    </row>
    <row r="44" spans="1:19" x14ac:dyDescent="0.25">
      <c r="A44" t="s">
        <v>27</v>
      </c>
      <c r="B44" t="str">
        <f>"27142949"</f>
        <v>27142949</v>
      </c>
      <c r="C44" t="s">
        <v>77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P44">
        <v>0</v>
      </c>
      <c r="Q44">
        <v>0</v>
      </c>
      <c r="R44">
        <v>0</v>
      </c>
      <c r="S44">
        <f t="shared" si="0"/>
        <v>0</v>
      </c>
    </row>
    <row r="45" spans="1:19" x14ac:dyDescent="0.25">
      <c r="A45" t="s">
        <v>27</v>
      </c>
      <c r="B45" t="str">
        <f>"60460709"</f>
        <v>60460709</v>
      </c>
      <c r="C45" t="s">
        <v>78</v>
      </c>
      <c r="D45">
        <v>4673</v>
      </c>
      <c r="E45">
        <v>74330.682217898997</v>
      </c>
      <c r="F45">
        <v>65343.862132556998</v>
      </c>
      <c r="G45">
        <v>0</v>
      </c>
      <c r="H45">
        <v>0</v>
      </c>
      <c r="I45">
        <v>0</v>
      </c>
      <c r="J45">
        <v>15</v>
      </c>
      <c r="K45">
        <v>5.12</v>
      </c>
      <c r="L45">
        <v>7439.95</v>
      </c>
      <c r="M45">
        <v>7812.03</v>
      </c>
      <c r="N45">
        <v>60</v>
      </c>
      <c r="O45">
        <v>23.884615361691001</v>
      </c>
      <c r="P45">
        <v>2120.6475081495</v>
      </c>
      <c r="Q45">
        <v>2144.5321235112001</v>
      </c>
      <c r="R45">
        <v>12482.4</v>
      </c>
      <c r="S45">
        <f t="shared" si="0"/>
        <v>87782.824256068197</v>
      </c>
    </row>
    <row r="46" spans="1:19" x14ac:dyDescent="0.25">
      <c r="A46" t="s">
        <v>27</v>
      </c>
      <c r="B46" t="str">
        <f>"68407700"</f>
        <v>68407700</v>
      </c>
      <c r="C46" t="s">
        <v>79</v>
      </c>
      <c r="D46">
        <v>11272</v>
      </c>
      <c r="E46">
        <v>152969.55266861001</v>
      </c>
      <c r="F46">
        <v>136081.19790037</v>
      </c>
      <c r="G46">
        <v>1</v>
      </c>
      <c r="H46">
        <v>1</v>
      </c>
      <c r="I46">
        <v>2000</v>
      </c>
      <c r="J46">
        <v>60</v>
      </c>
      <c r="K46">
        <v>13.99</v>
      </c>
      <c r="L46">
        <v>28122.400000000001</v>
      </c>
      <c r="M46">
        <v>28192</v>
      </c>
      <c r="N46">
        <v>750</v>
      </c>
      <c r="O46">
        <v>573.92856764792998</v>
      </c>
      <c r="P46">
        <v>12451.498285764999</v>
      </c>
      <c r="Q46">
        <v>13025.426853413001</v>
      </c>
      <c r="R46">
        <v>72840.800000000003</v>
      </c>
      <c r="S46">
        <f t="shared" si="0"/>
        <v>252139.42475378298</v>
      </c>
    </row>
    <row r="47" spans="1:19" x14ac:dyDescent="0.25">
      <c r="A47" t="s">
        <v>58</v>
      </c>
      <c r="B47" t="str">
        <f>"00020699"</f>
        <v>00020699</v>
      </c>
      <c r="C47" t="s">
        <v>80</v>
      </c>
      <c r="D47">
        <v>22</v>
      </c>
      <c r="E47">
        <v>315.78715814540999</v>
      </c>
      <c r="F47">
        <v>266.75093382347001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18.2501231428</v>
      </c>
      <c r="Q47">
        <v>18.2501231428</v>
      </c>
      <c r="R47">
        <v>0</v>
      </c>
      <c r="S47">
        <f t="shared" si="0"/>
        <v>285.00105696627003</v>
      </c>
    </row>
    <row r="48" spans="1:19" x14ac:dyDescent="0.25">
      <c r="A48" t="s">
        <v>63</v>
      </c>
      <c r="B48" t="str">
        <f>"00177016"</f>
        <v>00177016</v>
      </c>
      <c r="C48" t="s">
        <v>81</v>
      </c>
      <c r="D48">
        <v>175</v>
      </c>
      <c r="E48">
        <v>2959.0761254721001</v>
      </c>
      <c r="F48">
        <v>3123.4228039803002</v>
      </c>
      <c r="G48">
        <v>0</v>
      </c>
      <c r="H48">
        <v>0</v>
      </c>
      <c r="I48">
        <v>0</v>
      </c>
      <c r="J48">
        <v>1.6</v>
      </c>
      <c r="K48">
        <v>0</v>
      </c>
      <c r="L48">
        <v>443.976</v>
      </c>
      <c r="M48">
        <v>399.57799999999997</v>
      </c>
      <c r="N48">
        <v>0</v>
      </c>
      <c r="O48">
        <v>0</v>
      </c>
      <c r="P48">
        <v>810.43987580810006</v>
      </c>
      <c r="Q48">
        <v>810.43987580810006</v>
      </c>
      <c r="R48">
        <v>1887.76</v>
      </c>
      <c r="S48">
        <f t="shared" si="0"/>
        <v>6221.2006797884005</v>
      </c>
    </row>
    <row r="49" spans="1:19" x14ac:dyDescent="0.25">
      <c r="A49" t="s">
        <v>27</v>
      </c>
      <c r="B49" t="str">
        <f>"26733544"</f>
        <v>26733544</v>
      </c>
      <c r="C49" t="s">
        <v>82</v>
      </c>
      <c r="D49">
        <v>2</v>
      </c>
      <c r="E49">
        <v>42.711968864469</v>
      </c>
      <c r="F49">
        <v>33.538832335858999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30.493876643499998</v>
      </c>
      <c r="Q49">
        <v>30.493876643499998</v>
      </c>
      <c r="R49">
        <v>0</v>
      </c>
      <c r="S49">
        <f t="shared" si="0"/>
        <v>64.032708979359001</v>
      </c>
    </row>
    <row r="50" spans="1:19" x14ac:dyDescent="0.25">
      <c r="A50" t="s">
        <v>65</v>
      </c>
      <c r="B50" t="str">
        <f>"00023761"</f>
        <v>00023761</v>
      </c>
      <c r="C50" t="s">
        <v>83</v>
      </c>
      <c r="D50">
        <v>224</v>
      </c>
      <c r="E50">
        <v>3248.8463863975999</v>
      </c>
      <c r="F50">
        <v>2816.4649989138002</v>
      </c>
      <c r="G50">
        <v>0</v>
      </c>
      <c r="H50">
        <v>0</v>
      </c>
      <c r="I50">
        <v>0</v>
      </c>
      <c r="J50">
        <v>1</v>
      </c>
      <c r="K50">
        <v>0</v>
      </c>
      <c r="L50">
        <v>331.36500000000001</v>
      </c>
      <c r="M50">
        <v>298.22800000000001</v>
      </c>
      <c r="N50">
        <v>0</v>
      </c>
      <c r="O50">
        <v>0</v>
      </c>
      <c r="P50">
        <v>374.60005350590001</v>
      </c>
      <c r="Q50">
        <v>374.60005350590001</v>
      </c>
      <c r="R50">
        <v>1663.67</v>
      </c>
      <c r="S50">
        <f t="shared" si="0"/>
        <v>5152.9630524197</v>
      </c>
    </row>
    <row r="51" spans="1:19" x14ac:dyDescent="0.25">
      <c r="A51" t="s">
        <v>27</v>
      </c>
      <c r="B51" t="str">
        <f>"25173154"</f>
        <v>25173154</v>
      </c>
      <c r="C51" t="s">
        <v>84</v>
      </c>
      <c r="D51">
        <v>47</v>
      </c>
      <c r="E51">
        <v>545.59485662236</v>
      </c>
      <c r="F51">
        <v>522.72883657438001</v>
      </c>
      <c r="G51">
        <v>0</v>
      </c>
      <c r="H51">
        <v>0</v>
      </c>
      <c r="I51">
        <v>0</v>
      </c>
      <c r="J51">
        <v>1</v>
      </c>
      <c r="K51">
        <v>0</v>
      </c>
      <c r="L51">
        <v>139.40799999999999</v>
      </c>
      <c r="M51">
        <v>125.467</v>
      </c>
      <c r="N51">
        <v>0</v>
      </c>
      <c r="O51">
        <v>0</v>
      </c>
      <c r="P51">
        <v>171.45455159619999</v>
      </c>
      <c r="Q51">
        <v>171.45455159619999</v>
      </c>
      <c r="R51">
        <v>362.63200000000001</v>
      </c>
      <c r="S51">
        <f t="shared" si="0"/>
        <v>1182.2823881705799</v>
      </c>
    </row>
    <row r="52" spans="1:19" x14ac:dyDescent="0.25">
      <c r="A52" t="s">
        <v>42</v>
      </c>
      <c r="B52" t="str">
        <f>"68378076"</f>
        <v>68378076</v>
      </c>
      <c r="C52" t="s">
        <v>85</v>
      </c>
      <c r="D52">
        <v>261</v>
      </c>
      <c r="E52">
        <v>3761.3716435371998</v>
      </c>
      <c r="F52">
        <v>3148.3024513810001</v>
      </c>
      <c r="G52">
        <v>0</v>
      </c>
      <c r="H52">
        <v>0</v>
      </c>
      <c r="I52">
        <v>0</v>
      </c>
      <c r="J52">
        <v>2</v>
      </c>
      <c r="K52">
        <v>0</v>
      </c>
      <c r="L52">
        <v>361.16699999999997</v>
      </c>
      <c r="M52">
        <v>325.05</v>
      </c>
      <c r="N52">
        <v>0</v>
      </c>
      <c r="O52">
        <v>0</v>
      </c>
      <c r="P52">
        <v>4.7882946795999999</v>
      </c>
      <c r="Q52">
        <v>4.7882946795999999</v>
      </c>
      <c r="R52">
        <v>39.532499999999999</v>
      </c>
      <c r="S52">
        <f t="shared" si="0"/>
        <v>3517.6732460605999</v>
      </c>
    </row>
    <row r="53" spans="1:19" x14ac:dyDescent="0.25">
      <c r="A53" t="s">
        <v>65</v>
      </c>
      <c r="B53" t="str">
        <f>"65269705"</f>
        <v>65269705</v>
      </c>
      <c r="C53" t="s">
        <v>86</v>
      </c>
      <c r="D53">
        <v>903</v>
      </c>
      <c r="E53">
        <v>7960.7465409526003</v>
      </c>
      <c r="F53">
        <v>7112.5070363591003</v>
      </c>
      <c r="G53">
        <v>0</v>
      </c>
      <c r="H53">
        <v>0</v>
      </c>
      <c r="I53">
        <v>0</v>
      </c>
      <c r="J53">
        <v>3</v>
      </c>
      <c r="K53">
        <v>0.78</v>
      </c>
      <c r="L53">
        <v>1091.97</v>
      </c>
      <c r="M53">
        <v>1107.55</v>
      </c>
      <c r="N53">
        <v>0</v>
      </c>
      <c r="O53">
        <v>0</v>
      </c>
      <c r="P53">
        <v>890.32879230399999</v>
      </c>
      <c r="Q53">
        <v>890.32879230399999</v>
      </c>
      <c r="R53">
        <v>2353.92</v>
      </c>
      <c r="S53">
        <f t="shared" si="0"/>
        <v>11464.3058286631</v>
      </c>
    </row>
    <row r="54" spans="1:19" x14ac:dyDescent="0.25">
      <c r="A54" t="s">
        <v>65</v>
      </c>
      <c r="B54" t="str">
        <f>"00179906"</f>
        <v>00179906</v>
      </c>
      <c r="C54" t="s">
        <v>87</v>
      </c>
      <c r="D54">
        <v>1280</v>
      </c>
      <c r="E54">
        <v>11288.604765508</v>
      </c>
      <c r="F54">
        <v>10060.436433437</v>
      </c>
      <c r="G54">
        <v>0</v>
      </c>
      <c r="H54">
        <v>0</v>
      </c>
      <c r="I54">
        <v>0</v>
      </c>
      <c r="J54">
        <v>3</v>
      </c>
      <c r="K54">
        <v>0.5</v>
      </c>
      <c r="L54">
        <v>1117.76</v>
      </c>
      <c r="M54">
        <v>1087.8599999999999</v>
      </c>
      <c r="N54">
        <v>30</v>
      </c>
      <c r="O54">
        <v>20.714285850524998</v>
      </c>
      <c r="P54">
        <v>1335.1151651919999</v>
      </c>
      <c r="Q54">
        <v>1355.8294510425001</v>
      </c>
      <c r="R54">
        <v>2648.64</v>
      </c>
      <c r="S54">
        <f t="shared" si="0"/>
        <v>15152.765884479501</v>
      </c>
    </row>
    <row r="55" spans="1:19" x14ac:dyDescent="0.25">
      <c r="A55" t="s">
        <v>65</v>
      </c>
      <c r="B55" t="str">
        <f>"00064173"</f>
        <v>00064173</v>
      </c>
      <c r="C55" t="s">
        <v>88</v>
      </c>
      <c r="D55">
        <v>441</v>
      </c>
      <c r="E55">
        <v>3185.5602375898002</v>
      </c>
      <c r="F55">
        <v>2886.3347699968999</v>
      </c>
      <c r="G55">
        <v>0</v>
      </c>
      <c r="H55">
        <v>0</v>
      </c>
      <c r="I55">
        <v>0</v>
      </c>
      <c r="J55">
        <v>1</v>
      </c>
      <c r="K55">
        <v>0</v>
      </c>
      <c r="L55">
        <v>300.52499999999998</v>
      </c>
      <c r="M55">
        <v>270.47300000000001</v>
      </c>
      <c r="N55">
        <v>0</v>
      </c>
      <c r="O55">
        <v>0</v>
      </c>
      <c r="P55">
        <v>335.15962627689998</v>
      </c>
      <c r="Q55">
        <v>335.15962627689998</v>
      </c>
      <c r="R55">
        <v>802.85799999999995</v>
      </c>
      <c r="S55">
        <f t="shared" si="0"/>
        <v>4294.8253962737999</v>
      </c>
    </row>
    <row r="56" spans="1:19" x14ac:dyDescent="0.25">
      <c r="A56" t="s">
        <v>65</v>
      </c>
      <c r="B56" t="str">
        <f>"00098892"</f>
        <v>00098892</v>
      </c>
      <c r="C56" t="s">
        <v>89</v>
      </c>
      <c r="D56">
        <v>360</v>
      </c>
      <c r="E56">
        <v>2917.1707536022</v>
      </c>
      <c r="F56">
        <v>2578.5314034183998</v>
      </c>
      <c r="G56">
        <v>0</v>
      </c>
      <c r="H56">
        <v>0</v>
      </c>
      <c r="I56">
        <v>0</v>
      </c>
      <c r="J56">
        <v>1</v>
      </c>
      <c r="K56">
        <v>0</v>
      </c>
      <c r="L56">
        <v>127.238</v>
      </c>
      <c r="M56">
        <v>114.514</v>
      </c>
      <c r="N56">
        <v>0</v>
      </c>
      <c r="O56">
        <v>0</v>
      </c>
      <c r="P56">
        <v>464.80060459679999</v>
      </c>
      <c r="Q56">
        <v>464.80060459679999</v>
      </c>
      <c r="R56">
        <v>1683.32</v>
      </c>
      <c r="S56">
        <f t="shared" si="0"/>
        <v>4841.1660080151996</v>
      </c>
    </row>
    <row r="57" spans="1:19" x14ac:dyDescent="0.25">
      <c r="A57" t="s">
        <v>65</v>
      </c>
      <c r="B57" t="str">
        <f>"00843989"</f>
        <v>00843989</v>
      </c>
      <c r="C57" t="s">
        <v>90</v>
      </c>
      <c r="D57">
        <v>454</v>
      </c>
      <c r="E57">
        <v>5194.8461042803001</v>
      </c>
      <c r="F57">
        <v>4583.6275447793996</v>
      </c>
      <c r="G57">
        <v>0</v>
      </c>
      <c r="H57">
        <v>0</v>
      </c>
      <c r="I57">
        <v>0</v>
      </c>
      <c r="J57">
        <v>2</v>
      </c>
      <c r="K57">
        <v>0</v>
      </c>
      <c r="L57">
        <v>728.18700000000001</v>
      </c>
      <c r="M57">
        <v>655.36800000000005</v>
      </c>
      <c r="N57">
        <v>0</v>
      </c>
      <c r="O57">
        <v>0</v>
      </c>
      <c r="P57">
        <v>143.9218571888</v>
      </c>
      <c r="Q57">
        <v>143.9218571888</v>
      </c>
      <c r="R57">
        <v>834.37599999999998</v>
      </c>
      <c r="S57">
        <f t="shared" si="0"/>
        <v>6217.2934019681998</v>
      </c>
    </row>
    <row r="58" spans="1:19" x14ac:dyDescent="0.25">
      <c r="A58" t="s">
        <v>65</v>
      </c>
      <c r="B58" t="str">
        <f>"00669806"</f>
        <v>00669806</v>
      </c>
      <c r="C58" t="s">
        <v>91</v>
      </c>
      <c r="D58">
        <v>486</v>
      </c>
      <c r="E58">
        <v>4320.9589556656001</v>
      </c>
      <c r="F58">
        <v>3729.5159949193999</v>
      </c>
      <c r="G58">
        <v>0</v>
      </c>
      <c r="H58">
        <v>0</v>
      </c>
      <c r="I58">
        <v>0</v>
      </c>
      <c r="J58">
        <v>2</v>
      </c>
      <c r="K58">
        <v>0.85</v>
      </c>
      <c r="L58">
        <v>638.16099999999994</v>
      </c>
      <c r="M58">
        <v>693.54200000000003</v>
      </c>
      <c r="N58">
        <v>0</v>
      </c>
      <c r="O58">
        <v>0</v>
      </c>
      <c r="P58">
        <v>189.0536346728</v>
      </c>
      <c r="Q58">
        <v>189.0536346728</v>
      </c>
      <c r="R58">
        <v>639.89800000000002</v>
      </c>
      <c r="S58">
        <f t="shared" si="0"/>
        <v>5252.0096295922003</v>
      </c>
    </row>
    <row r="59" spans="1:19" x14ac:dyDescent="0.25">
      <c r="A59" t="s">
        <v>65</v>
      </c>
      <c r="B59" t="str">
        <f>"00159816"</f>
        <v>00159816</v>
      </c>
      <c r="C59" t="s">
        <v>92</v>
      </c>
      <c r="D59">
        <v>935</v>
      </c>
      <c r="E59">
        <v>10722.084074484999</v>
      </c>
      <c r="F59">
        <v>9268.6345304631996</v>
      </c>
      <c r="G59">
        <v>0</v>
      </c>
      <c r="H59">
        <v>0</v>
      </c>
      <c r="I59">
        <v>0</v>
      </c>
      <c r="J59">
        <v>1</v>
      </c>
      <c r="K59">
        <v>0.2</v>
      </c>
      <c r="L59">
        <v>476.61900000000003</v>
      </c>
      <c r="M59">
        <v>470.851</v>
      </c>
      <c r="N59">
        <v>10</v>
      </c>
      <c r="O59">
        <v>5</v>
      </c>
      <c r="P59">
        <v>339.1498718432</v>
      </c>
      <c r="Q59">
        <v>344.1498718432</v>
      </c>
      <c r="R59">
        <v>1081.5</v>
      </c>
      <c r="S59">
        <f t="shared" si="0"/>
        <v>11165.1354023064</v>
      </c>
    </row>
    <row r="60" spans="1:19" x14ac:dyDescent="0.25">
      <c r="A60" t="s">
        <v>65</v>
      </c>
      <c r="B60" t="str">
        <f>"00064203"</f>
        <v>00064203</v>
      </c>
      <c r="C60" t="s">
        <v>93</v>
      </c>
      <c r="D60">
        <v>1677</v>
      </c>
      <c r="E60">
        <v>14280.735991632</v>
      </c>
      <c r="F60">
        <v>12751.832838549</v>
      </c>
      <c r="G60">
        <v>0</v>
      </c>
      <c r="H60">
        <v>0</v>
      </c>
      <c r="I60">
        <v>0</v>
      </c>
      <c r="J60">
        <v>6</v>
      </c>
      <c r="K60">
        <v>0.9</v>
      </c>
      <c r="L60">
        <v>2306.6999999999998</v>
      </c>
      <c r="M60">
        <v>2228.09</v>
      </c>
      <c r="N60">
        <v>0</v>
      </c>
      <c r="O60">
        <v>0</v>
      </c>
      <c r="P60">
        <v>893.73100168159999</v>
      </c>
      <c r="Q60">
        <v>893.73100168159999</v>
      </c>
      <c r="R60">
        <v>2589.46</v>
      </c>
      <c r="S60">
        <f t="shared" si="0"/>
        <v>18463.113840230599</v>
      </c>
    </row>
    <row r="61" spans="1:19" x14ac:dyDescent="0.25">
      <c r="A61" t="s">
        <v>42</v>
      </c>
      <c r="B61" t="str">
        <f>"67985955"</f>
        <v>67985955</v>
      </c>
      <c r="C61" t="s">
        <v>94</v>
      </c>
      <c r="D61">
        <v>958</v>
      </c>
      <c r="E61">
        <v>14398.15380272</v>
      </c>
      <c r="F61">
        <v>11236.441354643999</v>
      </c>
      <c r="G61">
        <v>0</v>
      </c>
      <c r="H61">
        <v>0</v>
      </c>
      <c r="I61">
        <v>0</v>
      </c>
      <c r="J61">
        <v>6.4</v>
      </c>
      <c r="K61">
        <v>1</v>
      </c>
      <c r="L61">
        <v>1464.54</v>
      </c>
      <c r="M61">
        <v>1418.66</v>
      </c>
      <c r="N61">
        <v>0</v>
      </c>
      <c r="O61">
        <v>0</v>
      </c>
      <c r="P61">
        <v>62.373838589000002</v>
      </c>
      <c r="Q61">
        <v>62.373838589000002</v>
      </c>
      <c r="R61">
        <v>107.048</v>
      </c>
      <c r="S61">
        <f t="shared" si="0"/>
        <v>12824.523193232999</v>
      </c>
    </row>
    <row r="62" spans="1:19" x14ac:dyDescent="0.25">
      <c r="A62" t="s">
        <v>42</v>
      </c>
      <c r="B62" t="str">
        <f>"68378271"</f>
        <v>68378271</v>
      </c>
      <c r="C62" t="s">
        <v>95</v>
      </c>
      <c r="D62">
        <v>3255</v>
      </c>
      <c r="E62">
        <v>66384.098299364996</v>
      </c>
      <c r="F62">
        <v>92640.065079717999</v>
      </c>
      <c r="G62">
        <v>1</v>
      </c>
      <c r="H62">
        <v>1</v>
      </c>
      <c r="I62">
        <v>2000</v>
      </c>
      <c r="J62">
        <v>30.6</v>
      </c>
      <c r="K62">
        <v>8.93</v>
      </c>
      <c r="L62">
        <v>13536.9</v>
      </c>
      <c r="M62">
        <v>13919.4</v>
      </c>
      <c r="N62">
        <v>350</v>
      </c>
      <c r="O62">
        <v>182.19047641754</v>
      </c>
      <c r="P62">
        <v>299.6464407368</v>
      </c>
      <c r="Q62">
        <v>481.83691715430001</v>
      </c>
      <c r="R62">
        <v>1649.45</v>
      </c>
      <c r="S62">
        <f t="shared" si="0"/>
        <v>110690.75199687229</v>
      </c>
    </row>
    <row r="63" spans="1:19" x14ac:dyDescent="0.25">
      <c r="A63" t="s">
        <v>42</v>
      </c>
      <c r="B63" t="str">
        <f>"67985823"</f>
        <v>67985823</v>
      </c>
      <c r="C63" t="s">
        <v>96</v>
      </c>
      <c r="D63">
        <v>737</v>
      </c>
      <c r="E63">
        <v>18793.821650716</v>
      </c>
      <c r="F63">
        <v>17612.423208212</v>
      </c>
      <c r="G63">
        <v>0</v>
      </c>
      <c r="H63">
        <v>0</v>
      </c>
      <c r="I63">
        <v>0</v>
      </c>
      <c r="J63">
        <v>11</v>
      </c>
      <c r="K63">
        <v>2</v>
      </c>
      <c r="L63">
        <v>3023.12</v>
      </c>
      <c r="M63">
        <v>2962.37</v>
      </c>
      <c r="N63">
        <v>200</v>
      </c>
      <c r="O63">
        <v>28.57142829895</v>
      </c>
      <c r="P63">
        <v>734.79322038810005</v>
      </c>
      <c r="Q63">
        <v>763.36464868710004</v>
      </c>
      <c r="R63">
        <v>2351.0700000000002</v>
      </c>
      <c r="S63">
        <f t="shared" si="0"/>
        <v>23689.227856899099</v>
      </c>
    </row>
    <row r="64" spans="1:19" x14ac:dyDescent="0.25">
      <c r="A64" t="s">
        <v>27</v>
      </c>
      <c r="B64" t="str">
        <f>"60702672"</f>
        <v>60702672</v>
      </c>
      <c r="C64" t="s">
        <v>97</v>
      </c>
      <c r="D64">
        <v>4</v>
      </c>
      <c r="E64">
        <v>66.954001665115001</v>
      </c>
      <c r="F64">
        <v>71.893000602721997</v>
      </c>
      <c r="G64">
        <v>0</v>
      </c>
      <c r="H64">
        <v>0</v>
      </c>
      <c r="I64">
        <v>0</v>
      </c>
      <c r="J64">
        <v>0</v>
      </c>
      <c r="K64">
        <v>0</v>
      </c>
      <c r="L64">
        <v>15.4346</v>
      </c>
      <c r="M64">
        <v>13.8911</v>
      </c>
      <c r="N64">
        <v>0</v>
      </c>
      <c r="O64">
        <v>0</v>
      </c>
      <c r="P64">
        <v>43.745692182100001</v>
      </c>
      <c r="Q64">
        <v>43.745692182100001</v>
      </c>
      <c r="R64">
        <v>54.628900000000002</v>
      </c>
      <c r="S64">
        <f t="shared" si="0"/>
        <v>184.15869278482199</v>
      </c>
    </row>
    <row r="65" spans="1:19" x14ac:dyDescent="0.25">
      <c r="A65" t="s">
        <v>42</v>
      </c>
      <c r="B65" t="str">
        <f>"67985530"</f>
        <v>67985530</v>
      </c>
      <c r="C65" t="s">
        <v>98</v>
      </c>
      <c r="D65">
        <v>207</v>
      </c>
      <c r="E65">
        <v>5436.1938773534002</v>
      </c>
      <c r="F65">
        <v>5176.5228436578</v>
      </c>
      <c r="G65">
        <v>0</v>
      </c>
      <c r="H65">
        <v>0</v>
      </c>
      <c r="I65">
        <v>0</v>
      </c>
      <c r="J65">
        <v>5.7</v>
      </c>
      <c r="K65">
        <v>0.8</v>
      </c>
      <c r="L65">
        <v>770.596</v>
      </c>
      <c r="M65">
        <v>741.06799999999998</v>
      </c>
      <c r="N65">
        <v>0</v>
      </c>
      <c r="O65">
        <v>0</v>
      </c>
      <c r="P65">
        <v>15.225937029300001</v>
      </c>
      <c r="Q65">
        <v>15.225937029300001</v>
      </c>
      <c r="R65">
        <v>131.071</v>
      </c>
      <c r="S65">
        <f t="shared" si="0"/>
        <v>6063.8877806871005</v>
      </c>
    </row>
    <row r="66" spans="1:19" x14ac:dyDescent="0.25">
      <c r="A66" t="s">
        <v>42</v>
      </c>
      <c r="B66" t="str">
        <f>"67985831"</f>
        <v>67985831</v>
      </c>
      <c r="C66" t="s">
        <v>99</v>
      </c>
      <c r="D66">
        <v>412</v>
      </c>
      <c r="E66">
        <v>6272.8841052862999</v>
      </c>
      <c r="F66">
        <v>5925.2993111753003</v>
      </c>
      <c r="G66">
        <v>0</v>
      </c>
      <c r="H66">
        <v>0</v>
      </c>
      <c r="I66">
        <v>0</v>
      </c>
      <c r="J66">
        <v>4</v>
      </c>
      <c r="K66">
        <v>0</v>
      </c>
      <c r="L66">
        <v>614.38900000000001</v>
      </c>
      <c r="M66">
        <v>552.95000000000005</v>
      </c>
      <c r="N66">
        <v>0</v>
      </c>
      <c r="O66">
        <v>0</v>
      </c>
      <c r="P66">
        <v>14.427887916</v>
      </c>
      <c r="Q66">
        <v>14.427887916</v>
      </c>
      <c r="R66">
        <v>199.28100000000001</v>
      </c>
      <c r="S66">
        <f t="shared" si="0"/>
        <v>6691.9581990913002</v>
      </c>
    </row>
    <row r="67" spans="1:19" x14ac:dyDescent="0.25">
      <c r="A67" t="s">
        <v>42</v>
      </c>
      <c r="B67" t="str">
        <f>"67985963"</f>
        <v>67985963</v>
      </c>
      <c r="C67" t="s">
        <v>100</v>
      </c>
      <c r="D67">
        <v>579</v>
      </c>
      <c r="E67">
        <v>8791.9127460762993</v>
      </c>
      <c r="F67">
        <v>7299.4480632092</v>
      </c>
      <c r="G67">
        <v>0</v>
      </c>
      <c r="H67">
        <v>0</v>
      </c>
      <c r="I67">
        <v>0</v>
      </c>
      <c r="J67">
        <v>4</v>
      </c>
      <c r="K67">
        <v>0.63</v>
      </c>
      <c r="L67">
        <v>863.64499999999998</v>
      </c>
      <c r="M67">
        <v>837.06100000000004</v>
      </c>
      <c r="N67">
        <v>0</v>
      </c>
      <c r="O67">
        <v>0</v>
      </c>
      <c r="P67">
        <v>122.017509159</v>
      </c>
      <c r="Q67">
        <v>122.017509159</v>
      </c>
      <c r="R67">
        <v>353.56799999999998</v>
      </c>
      <c r="S67">
        <f t="shared" si="0"/>
        <v>8612.0945723681998</v>
      </c>
    </row>
    <row r="68" spans="1:19" x14ac:dyDescent="0.25">
      <c r="A68" t="s">
        <v>101</v>
      </c>
      <c r="B68" t="str">
        <f>"00072486"</f>
        <v>00072486</v>
      </c>
      <c r="C68" t="s">
        <v>102</v>
      </c>
      <c r="D68">
        <v>11</v>
      </c>
      <c r="E68">
        <v>125.62308998301999</v>
      </c>
      <c r="F68">
        <v>73.386987139900995</v>
      </c>
      <c r="G68">
        <v>0</v>
      </c>
      <c r="H68">
        <v>0</v>
      </c>
      <c r="I68">
        <v>0</v>
      </c>
      <c r="J68">
        <v>1</v>
      </c>
      <c r="K68">
        <v>0</v>
      </c>
      <c r="L68">
        <v>4.3865999999999996</v>
      </c>
      <c r="M68">
        <v>3.94794</v>
      </c>
      <c r="N68">
        <v>0</v>
      </c>
      <c r="O68">
        <v>0</v>
      </c>
      <c r="P68">
        <v>48.638993323999998</v>
      </c>
      <c r="Q68">
        <v>48.638993323999998</v>
      </c>
      <c r="R68">
        <v>143.78700000000001</v>
      </c>
      <c r="S68">
        <f t="shared" si="0"/>
        <v>269.76092046390102</v>
      </c>
    </row>
    <row r="69" spans="1:19" x14ac:dyDescent="0.25">
      <c r="A69" t="s">
        <v>29</v>
      </c>
      <c r="B69" t="str">
        <f>"14864347"</f>
        <v>14864347</v>
      </c>
      <c r="C69" t="s">
        <v>103</v>
      </c>
      <c r="D69">
        <v>34</v>
      </c>
      <c r="E69">
        <v>585.99061500545997</v>
      </c>
      <c r="F69">
        <v>477.12745066532</v>
      </c>
      <c r="G69">
        <v>0</v>
      </c>
      <c r="H69">
        <v>0</v>
      </c>
      <c r="I69">
        <v>0</v>
      </c>
      <c r="J69">
        <v>1</v>
      </c>
      <c r="K69">
        <v>0</v>
      </c>
      <c r="L69">
        <v>171.88300000000001</v>
      </c>
      <c r="M69">
        <v>154.69499999999999</v>
      </c>
      <c r="N69">
        <v>0</v>
      </c>
      <c r="O69">
        <v>0</v>
      </c>
      <c r="P69">
        <v>128.54891111219999</v>
      </c>
      <c r="Q69">
        <v>128.54891111219999</v>
      </c>
      <c r="R69">
        <v>833.09699999999998</v>
      </c>
      <c r="S69">
        <f t="shared" ref="S69:S131" si="1">F69+I69+M69+Q69+R69</f>
        <v>1593.4683617775199</v>
      </c>
    </row>
    <row r="70" spans="1:19" x14ac:dyDescent="0.25">
      <c r="A70" t="s">
        <v>27</v>
      </c>
      <c r="B70" t="str">
        <f>"24759384"</f>
        <v>24759384</v>
      </c>
      <c r="C70" t="s">
        <v>104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11.1306850007</v>
      </c>
      <c r="Q70">
        <v>11.1306850007</v>
      </c>
      <c r="R70">
        <v>0</v>
      </c>
      <c r="S70">
        <f t="shared" si="1"/>
        <v>11.1306850007</v>
      </c>
    </row>
    <row r="71" spans="1:19" x14ac:dyDescent="0.25">
      <c r="A71" t="s">
        <v>65</v>
      </c>
      <c r="B71" t="str">
        <f>"00023001"</f>
        <v>00023001</v>
      </c>
      <c r="C71" t="s">
        <v>105</v>
      </c>
      <c r="D71">
        <v>868</v>
      </c>
      <c r="E71">
        <v>15660.459537922001</v>
      </c>
      <c r="F71">
        <v>13836.533242003001</v>
      </c>
      <c r="G71">
        <v>0</v>
      </c>
      <c r="H71">
        <v>0</v>
      </c>
      <c r="I71">
        <v>0</v>
      </c>
      <c r="J71">
        <v>6.3</v>
      </c>
      <c r="K71">
        <v>0.9</v>
      </c>
      <c r="L71">
        <v>3599.72</v>
      </c>
      <c r="M71">
        <v>3465.75</v>
      </c>
      <c r="N71">
        <v>0</v>
      </c>
      <c r="O71">
        <v>0</v>
      </c>
      <c r="P71">
        <v>1546.4511711586999</v>
      </c>
      <c r="Q71">
        <v>1546.4511711586999</v>
      </c>
      <c r="R71">
        <v>3548.09</v>
      </c>
      <c r="S71">
        <f t="shared" si="1"/>
        <v>22396.824413161703</v>
      </c>
    </row>
    <row r="72" spans="1:19" x14ac:dyDescent="0.25">
      <c r="A72" t="s">
        <v>65</v>
      </c>
      <c r="B72" t="str">
        <f>"00023841"</f>
        <v>00023841</v>
      </c>
      <c r="C72" t="s">
        <v>106</v>
      </c>
      <c r="D72">
        <v>3</v>
      </c>
      <c r="E72">
        <v>8.8869998455047998</v>
      </c>
      <c r="F72">
        <v>7.8270001411437997</v>
      </c>
      <c r="G72">
        <v>0</v>
      </c>
      <c r="H72">
        <v>0</v>
      </c>
      <c r="I72">
        <v>0</v>
      </c>
      <c r="J72">
        <v>0</v>
      </c>
      <c r="K72">
        <v>0</v>
      </c>
      <c r="L72">
        <v>32.946800000000003</v>
      </c>
      <c r="M72">
        <v>29.652100000000001</v>
      </c>
      <c r="N72">
        <v>0</v>
      </c>
      <c r="P72">
        <v>0</v>
      </c>
      <c r="Q72">
        <v>0</v>
      </c>
      <c r="R72">
        <v>0</v>
      </c>
      <c r="S72">
        <f t="shared" si="1"/>
        <v>37.479100141143803</v>
      </c>
    </row>
    <row r="73" spans="1:19" x14ac:dyDescent="0.25">
      <c r="A73" t="s">
        <v>36</v>
      </c>
      <c r="B73" t="str">
        <f>"48136841"</f>
        <v>48136841</v>
      </c>
      <c r="C73" t="s">
        <v>107</v>
      </c>
      <c r="D73">
        <v>96</v>
      </c>
      <c r="E73">
        <v>1421.1605273442999</v>
      </c>
      <c r="F73">
        <v>1159.2771835004</v>
      </c>
      <c r="G73">
        <v>0</v>
      </c>
      <c r="H73">
        <v>0</v>
      </c>
      <c r="I73">
        <v>0</v>
      </c>
      <c r="J73">
        <v>1</v>
      </c>
      <c r="K73">
        <v>0</v>
      </c>
      <c r="L73">
        <v>169.20099999999999</v>
      </c>
      <c r="M73">
        <v>152.28100000000001</v>
      </c>
      <c r="N73">
        <v>0</v>
      </c>
      <c r="O73">
        <v>0</v>
      </c>
      <c r="P73">
        <v>6.0693735193</v>
      </c>
      <c r="Q73">
        <v>6.0693735193</v>
      </c>
      <c r="R73">
        <v>83.541600000000003</v>
      </c>
      <c r="S73">
        <f t="shared" si="1"/>
        <v>1401.1691570196999</v>
      </c>
    </row>
    <row r="74" spans="1:19" x14ac:dyDescent="0.25">
      <c r="A74" t="s">
        <v>27</v>
      </c>
      <c r="B74" t="str">
        <f>"24661171"</f>
        <v>24661171</v>
      </c>
      <c r="C74" t="s">
        <v>108</v>
      </c>
      <c r="D74">
        <v>1</v>
      </c>
      <c r="E74">
        <v>0.28571428571427998</v>
      </c>
      <c r="F74">
        <v>0.16072865405714001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P74">
        <v>0</v>
      </c>
      <c r="Q74">
        <v>0</v>
      </c>
      <c r="R74">
        <v>0</v>
      </c>
      <c r="S74">
        <f t="shared" si="1"/>
        <v>0.16072865405714001</v>
      </c>
    </row>
    <row r="75" spans="1:19" x14ac:dyDescent="0.25">
      <c r="A75" t="s">
        <v>101</v>
      </c>
      <c r="B75" t="str">
        <f>"00023205"</f>
        <v>00023205</v>
      </c>
      <c r="C75" t="s">
        <v>109</v>
      </c>
      <c r="D75">
        <v>88</v>
      </c>
      <c r="E75">
        <v>1526.3911212057001</v>
      </c>
      <c r="F75">
        <v>1304.3434212727</v>
      </c>
      <c r="G75">
        <v>0</v>
      </c>
      <c r="H75">
        <v>0</v>
      </c>
      <c r="I75">
        <v>0</v>
      </c>
      <c r="J75">
        <v>1</v>
      </c>
      <c r="K75">
        <v>1</v>
      </c>
      <c r="L75">
        <v>130.65899999999999</v>
      </c>
      <c r="M75">
        <v>175.01599999999999</v>
      </c>
      <c r="N75">
        <v>0</v>
      </c>
      <c r="O75">
        <v>0</v>
      </c>
      <c r="P75">
        <v>88.247430892599994</v>
      </c>
      <c r="Q75">
        <v>88.247430892599994</v>
      </c>
      <c r="R75">
        <v>250.41800000000001</v>
      </c>
      <c r="S75">
        <f t="shared" si="1"/>
        <v>1818.0248521653002</v>
      </c>
    </row>
    <row r="76" spans="1:19" x14ac:dyDescent="0.25">
      <c r="A76" t="s">
        <v>27</v>
      </c>
      <c r="B76" t="str">
        <f>"02277387"</f>
        <v>02277387</v>
      </c>
      <c r="C76" t="s">
        <v>110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38.201350974199997</v>
      </c>
      <c r="Q76">
        <v>38.201350974199997</v>
      </c>
      <c r="R76">
        <v>22.843699999999998</v>
      </c>
      <c r="S76">
        <f t="shared" si="1"/>
        <v>61.045050974199995</v>
      </c>
    </row>
    <row r="77" spans="1:19" x14ac:dyDescent="0.25">
      <c r="A77" t="s">
        <v>27</v>
      </c>
      <c r="B77" t="str">
        <f>"60445815"</f>
        <v>60445815</v>
      </c>
      <c r="C77" t="s">
        <v>111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P77">
        <v>0</v>
      </c>
      <c r="Q77">
        <v>0</v>
      </c>
      <c r="R77">
        <v>0</v>
      </c>
      <c r="S77">
        <f t="shared" si="1"/>
        <v>0</v>
      </c>
    </row>
    <row r="78" spans="1:19" x14ac:dyDescent="0.25">
      <c r="A78" t="s">
        <v>27</v>
      </c>
      <c r="B78" t="str">
        <f>"26585499"</f>
        <v>26585499</v>
      </c>
      <c r="C78" t="s">
        <v>112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8.6315311986999994</v>
      </c>
      <c r="Q78">
        <v>8.6315311986999994</v>
      </c>
      <c r="R78">
        <v>0</v>
      </c>
      <c r="S78">
        <f t="shared" si="1"/>
        <v>8.6315311986999994</v>
      </c>
    </row>
    <row r="79" spans="1:19" x14ac:dyDescent="0.25">
      <c r="A79" t="s">
        <v>27</v>
      </c>
      <c r="B79" t="str">
        <f>"62156462"</f>
        <v>62156462</v>
      </c>
      <c r="C79" t="s">
        <v>113</v>
      </c>
      <c r="D79">
        <v>71</v>
      </c>
      <c r="E79">
        <v>1629.9168058352</v>
      </c>
      <c r="F79">
        <v>1332.0659580029001</v>
      </c>
      <c r="G79">
        <v>0</v>
      </c>
      <c r="H79">
        <v>0</v>
      </c>
      <c r="I79">
        <v>0</v>
      </c>
      <c r="J79">
        <v>1</v>
      </c>
      <c r="K79">
        <v>0</v>
      </c>
      <c r="L79">
        <v>191.79300000000001</v>
      </c>
      <c r="M79">
        <v>172.614</v>
      </c>
      <c r="N79">
        <v>0</v>
      </c>
      <c r="P79">
        <v>0</v>
      </c>
      <c r="Q79">
        <v>0</v>
      </c>
      <c r="R79">
        <v>0</v>
      </c>
      <c r="S79">
        <f t="shared" si="1"/>
        <v>1504.6799580029001</v>
      </c>
    </row>
    <row r="80" spans="1:19" x14ac:dyDescent="0.25">
      <c r="A80" t="s">
        <v>27</v>
      </c>
      <c r="B80" t="str">
        <f>"60076658"</f>
        <v>60076658</v>
      </c>
      <c r="C80" t="s">
        <v>114</v>
      </c>
      <c r="D80">
        <v>4198</v>
      </c>
      <c r="E80">
        <v>66851.287830387999</v>
      </c>
      <c r="F80">
        <v>63058.413191501</v>
      </c>
      <c r="G80">
        <v>0</v>
      </c>
      <c r="H80">
        <v>0</v>
      </c>
      <c r="I80">
        <v>0</v>
      </c>
      <c r="J80">
        <v>19</v>
      </c>
      <c r="K80">
        <v>6.49</v>
      </c>
      <c r="L80">
        <v>9030.4500000000007</v>
      </c>
      <c r="M80">
        <v>9483.0499999999993</v>
      </c>
      <c r="N80">
        <v>160</v>
      </c>
      <c r="O80">
        <v>96</v>
      </c>
      <c r="P80">
        <v>599.92292024699998</v>
      </c>
      <c r="Q80">
        <v>695.92292024699998</v>
      </c>
      <c r="R80">
        <v>4616.41</v>
      </c>
      <c r="S80">
        <f t="shared" si="1"/>
        <v>77853.796111748001</v>
      </c>
    </row>
    <row r="81" spans="1:19" x14ac:dyDescent="0.25">
      <c r="A81" t="s">
        <v>42</v>
      </c>
      <c r="B81" t="str">
        <f>"67985971"</f>
        <v>67985971</v>
      </c>
      <c r="C81" t="s">
        <v>115</v>
      </c>
      <c r="D81">
        <v>22</v>
      </c>
      <c r="E81">
        <v>171.4340093385</v>
      </c>
      <c r="F81">
        <v>131.88305823598</v>
      </c>
      <c r="G81">
        <v>0</v>
      </c>
      <c r="H81">
        <v>0</v>
      </c>
      <c r="I81">
        <v>0</v>
      </c>
      <c r="J81">
        <v>3</v>
      </c>
      <c r="K81">
        <v>0</v>
      </c>
      <c r="L81">
        <v>39.648699999999998</v>
      </c>
      <c r="M81">
        <v>35.683799999999998</v>
      </c>
      <c r="N81">
        <v>0</v>
      </c>
      <c r="O81">
        <v>0</v>
      </c>
      <c r="P81">
        <v>89.402501977599997</v>
      </c>
      <c r="Q81">
        <v>89.402501977599997</v>
      </c>
      <c r="R81">
        <v>387.928</v>
      </c>
      <c r="S81">
        <f t="shared" si="1"/>
        <v>644.89736021357999</v>
      </c>
    </row>
    <row r="82" spans="1:19" x14ac:dyDescent="0.25">
      <c r="A82" t="s">
        <v>27</v>
      </c>
      <c r="B82" t="str">
        <f>"00216224"</f>
        <v>00216224</v>
      </c>
      <c r="C82" t="s">
        <v>116</v>
      </c>
      <c r="D82">
        <v>14090</v>
      </c>
      <c r="E82">
        <v>223818.54783736001</v>
      </c>
      <c r="F82">
        <v>203112.30583386999</v>
      </c>
      <c r="G82">
        <v>2</v>
      </c>
      <c r="H82">
        <v>2</v>
      </c>
      <c r="I82">
        <v>4000</v>
      </c>
      <c r="J82">
        <v>53.63</v>
      </c>
      <c r="K82">
        <v>22.98</v>
      </c>
      <c r="L82">
        <v>26135.5</v>
      </c>
      <c r="M82">
        <v>28443.7</v>
      </c>
      <c r="N82">
        <v>730</v>
      </c>
      <c r="O82">
        <v>525.00000238419</v>
      </c>
      <c r="P82">
        <v>2979.6423721117999</v>
      </c>
      <c r="Q82">
        <v>3504.6423744959998</v>
      </c>
      <c r="R82">
        <v>11089.1</v>
      </c>
      <c r="S82">
        <f t="shared" si="1"/>
        <v>250149.74820836601</v>
      </c>
    </row>
    <row r="83" spans="1:19" x14ac:dyDescent="0.25">
      <c r="A83" t="s">
        <v>65</v>
      </c>
      <c r="B83" t="str">
        <f>"00209805"</f>
        <v>00209805</v>
      </c>
      <c r="C83" t="s">
        <v>117</v>
      </c>
      <c r="D83">
        <v>314</v>
      </c>
      <c r="E83">
        <v>4872.2310078352002</v>
      </c>
      <c r="F83">
        <v>4455.5736730668004</v>
      </c>
      <c r="G83">
        <v>0</v>
      </c>
      <c r="H83">
        <v>0</v>
      </c>
      <c r="I83">
        <v>0</v>
      </c>
      <c r="J83">
        <v>1.25</v>
      </c>
      <c r="K83">
        <v>0</v>
      </c>
      <c r="L83">
        <v>671.68499999999995</v>
      </c>
      <c r="M83">
        <v>604.51599999999996</v>
      </c>
      <c r="N83">
        <v>0</v>
      </c>
      <c r="O83">
        <v>0</v>
      </c>
      <c r="P83">
        <v>263.69222805509997</v>
      </c>
      <c r="Q83">
        <v>263.69222805509997</v>
      </c>
      <c r="R83">
        <v>558.45799999999997</v>
      </c>
      <c r="S83">
        <f t="shared" si="1"/>
        <v>5882.2399011218995</v>
      </c>
    </row>
    <row r="84" spans="1:19" x14ac:dyDescent="0.25">
      <c r="A84" t="s">
        <v>42</v>
      </c>
      <c r="B84" t="str">
        <f>"67985921"</f>
        <v>67985921</v>
      </c>
      <c r="C84" t="s">
        <v>118</v>
      </c>
      <c r="D84">
        <v>289</v>
      </c>
      <c r="E84">
        <v>4388.7658012106003</v>
      </c>
      <c r="F84">
        <v>3612.4968821174998</v>
      </c>
      <c r="G84">
        <v>0</v>
      </c>
      <c r="H84">
        <v>0</v>
      </c>
      <c r="I84">
        <v>0</v>
      </c>
      <c r="J84">
        <v>3</v>
      </c>
      <c r="K84">
        <v>0</v>
      </c>
      <c r="L84">
        <v>353.84699999999998</v>
      </c>
      <c r="M84">
        <v>318.46199999999999</v>
      </c>
      <c r="N84">
        <v>0</v>
      </c>
      <c r="P84">
        <v>0</v>
      </c>
      <c r="Q84">
        <v>0</v>
      </c>
      <c r="R84">
        <v>0</v>
      </c>
      <c r="S84">
        <f t="shared" si="1"/>
        <v>3930.9588821174998</v>
      </c>
    </row>
    <row r="85" spans="1:19" x14ac:dyDescent="0.25">
      <c r="A85" t="s">
        <v>42</v>
      </c>
      <c r="B85" t="str">
        <f>"67985840"</f>
        <v>67985840</v>
      </c>
      <c r="C85" t="s">
        <v>119</v>
      </c>
      <c r="D85">
        <v>701</v>
      </c>
      <c r="E85">
        <v>17927.053048652</v>
      </c>
      <c r="F85">
        <v>15553.026573251</v>
      </c>
      <c r="G85">
        <v>2</v>
      </c>
      <c r="H85">
        <v>2</v>
      </c>
      <c r="I85">
        <v>4000</v>
      </c>
      <c r="J85">
        <v>5</v>
      </c>
      <c r="K85">
        <v>2.17</v>
      </c>
      <c r="L85">
        <v>2639.94</v>
      </c>
      <c r="M85">
        <v>2879.48</v>
      </c>
      <c r="N85">
        <v>0</v>
      </c>
      <c r="P85">
        <v>0</v>
      </c>
      <c r="Q85">
        <v>0</v>
      </c>
      <c r="R85">
        <v>61.646999999999998</v>
      </c>
      <c r="S85">
        <f t="shared" si="1"/>
        <v>22494.153573251002</v>
      </c>
    </row>
    <row r="86" spans="1:19" x14ac:dyDescent="0.25">
      <c r="A86" t="s">
        <v>63</v>
      </c>
      <c r="B86" t="str">
        <f>"25870807"</f>
        <v>25870807</v>
      </c>
      <c r="C86" t="s">
        <v>120</v>
      </c>
      <c r="D86">
        <v>30</v>
      </c>
      <c r="E86">
        <v>150.52453931661</v>
      </c>
      <c r="F86">
        <v>122.53032218426</v>
      </c>
      <c r="G86">
        <v>0</v>
      </c>
      <c r="H86">
        <v>0</v>
      </c>
      <c r="I86">
        <v>0</v>
      </c>
      <c r="J86">
        <v>1</v>
      </c>
      <c r="K86">
        <v>0</v>
      </c>
      <c r="L86">
        <v>180.51</v>
      </c>
      <c r="M86">
        <v>162.459</v>
      </c>
      <c r="N86">
        <v>0</v>
      </c>
      <c r="O86">
        <v>0</v>
      </c>
      <c r="P86">
        <v>173.36566920959999</v>
      </c>
      <c r="Q86">
        <v>173.36566920959999</v>
      </c>
      <c r="R86">
        <v>1214.51</v>
      </c>
      <c r="S86">
        <f t="shared" si="1"/>
        <v>1672.86499139386</v>
      </c>
    </row>
    <row r="87" spans="1:19" x14ac:dyDescent="0.25">
      <c r="A87" t="s">
        <v>63</v>
      </c>
      <c r="B87" t="str">
        <f>"28676092"</f>
        <v>28676092</v>
      </c>
      <c r="C87" t="s">
        <v>121</v>
      </c>
      <c r="D87">
        <v>27</v>
      </c>
      <c r="E87">
        <v>453.48694973808</v>
      </c>
      <c r="F87">
        <v>357.83634014008999</v>
      </c>
      <c r="G87">
        <v>0</v>
      </c>
      <c r="H87">
        <v>0</v>
      </c>
      <c r="I87">
        <v>0</v>
      </c>
      <c r="J87">
        <v>1</v>
      </c>
      <c r="K87">
        <v>0</v>
      </c>
      <c r="L87">
        <v>134.173</v>
      </c>
      <c r="M87">
        <v>120.756</v>
      </c>
      <c r="N87">
        <v>0</v>
      </c>
      <c r="O87">
        <v>0</v>
      </c>
      <c r="P87">
        <v>405.63996375319999</v>
      </c>
      <c r="Q87">
        <v>405.63996375319999</v>
      </c>
      <c r="R87">
        <v>2010.25</v>
      </c>
      <c r="S87">
        <f t="shared" si="1"/>
        <v>2894.48230389329</v>
      </c>
    </row>
    <row r="88" spans="1:19" x14ac:dyDescent="0.25">
      <c r="A88" t="s">
        <v>27</v>
      </c>
      <c r="B88" t="str">
        <f>"62156489"</f>
        <v>62156489</v>
      </c>
      <c r="C88" t="s">
        <v>122</v>
      </c>
      <c r="D88">
        <v>4067</v>
      </c>
      <c r="E88">
        <v>58738.406116193997</v>
      </c>
      <c r="F88">
        <v>52650.155975162997</v>
      </c>
      <c r="G88">
        <v>0</v>
      </c>
      <c r="H88">
        <v>0</v>
      </c>
      <c r="I88">
        <v>0</v>
      </c>
      <c r="J88">
        <v>13</v>
      </c>
      <c r="K88">
        <v>0.8</v>
      </c>
      <c r="L88">
        <v>4863.13</v>
      </c>
      <c r="M88">
        <v>4508.34</v>
      </c>
      <c r="N88">
        <v>210</v>
      </c>
      <c r="O88">
        <v>191.94444465637</v>
      </c>
      <c r="P88">
        <v>1396.9429701772001</v>
      </c>
      <c r="Q88">
        <v>1588.8874148335999</v>
      </c>
      <c r="R88">
        <v>5659.63</v>
      </c>
      <c r="S88">
        <f t="shared" si="1"/>
        <v>64407.013389996595</v>
      </c>
    </row>
    <row r="89" spans="1:19" x14ac:dyDescent="0.25">
      <c r="A89" t="s">
        <v>27</v>
      </c>
      <c r="B89" t="str">
        <f>"24839523"</f>
        <v>24839523</v>
      </c>
      <c r="C89" t="s">
        <v>123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P89">
        <v>0</v>
      </c>
      <c r="Q89">
        <v>0</v>
      </c>
      <c r="R89">
        <v>4.2169999999999996</v>
      </c>
      <c r="S89">
        <f t="shared" si="1"/>
        <v>4.2169999999999996</v>
      </c>
    </row>
    <row r="90" spans="1:19" x14ac:dyDescent="0.25">
      <c r="A90" t="s">
        <v>27</v>
      </c>
      <c r="B90" t="str">
        <f>"26482789"</f>
        <v>26482789</v>
      </c>
      <c r="C90" t="s">
        <v>124</v>
      </c>
      <c r="D90">
        <v>388</v>
      </c>
      <c r="E90">
        <v>5523.0514336938004</v>
      </c>
      <c r="F90">
        <v>4473.2577843986001</v>
      </c>
      <c r="G90">
        <v>0</v>
      </c>
      <c r="H90">
        <v>0</v>
      </c>
      <c r="I90">
        <v>0</v>
      </c>
      <c r="J90">
        <v>1</v>
      </c>
      <c r="K90">
        <v>0</v>
      </c>
      <c r="L90">
        <v>258.11200000000002</v>
      </c>
      <c r="M90">
        <v>232.30099999999999</v>
      </c>
      <c r="N90">
        <v>0</v>
      </c>
      <c r="P90">
        <v>0</v>
      </c>
      <c r="Q90">
        <v>0</v>
      </c>
      <c r="R90">
        <v>0</v>
      </c>
      <c r="S90">
        <f t="shared" si="1"/>
        <v>4705.5587843986004</v>
      </c>
    </row>
    <row r="91" spans="1:19" x14ac:dyDescent="0.25">
      <c r="A91" t="s">
        <v>42</v>
      </c>
      <c r="B91" t="str">
        <f>"61388971"</f>
        <v>61388971</v>
      </c>
      <c r="C91" t="s">
        <v>125</v>
      </c>
      <c r="D91">
        <v>984</v>
      </c>
      <c r="E91">
        <v>31917.706224176</v>
      </c>
      <c r="F91">
        <v>32055.725552364001</v>
      </c>
      <c r="G91">
        <v>0</v>
      </c>
      <c r="H91">
        <v>0</v>
      </c>
      <c r="I91">
        <v>0</v>
      </c>
      <c r="J91">
        <v>16</v>
      </c>
      <c r="K91">
        <v>1.95</v>
      </c>
      <c r="L91">
        <v>4284.1099999999997</v>
      </c>
      <c r="M91">
        <v>4085.17</v>
      </c>
      <c r="N91">
        <v>550</v>
      </c>
      <c r="O91">
        <v>302.63492512702999</v>
      </c>
      <c r="P91">
        <v>481.72764631479998</v>
      </c>
      <c r="Q91">
        <v>784.36257144189995</v>
      </c>
      <c r="R91">
        <v>2081.81</v>
      </c>
      <c r="S91">
        <f t="shared" si="1"/>
        <v>39007.068123805904</v>
      </c>
    </row>
    <row r="92" spans="1:19" x14ac:dyDescent="0.25">
      <c r="A92" t="s">
        <v>27</v>
      </c>
      <c r="B92" t="str">
        <f>"60111623"</f>
        <v>60111623</v>
      </c>
      <c r="C92" t="s">
        <v>126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3.1949999999999998</v>
      </c>
      <c r="M92">
        <v>2.8755000000000002</v>
      </c>
      <c r="N92">
        <v>0</v>
      </c>
      <c r="O92">
        <v>0</v>
      </c>
      <c r="P92">
        <v>18.733152869200001</v>
      </c>
      <c r="Q92">
        <v>18.733152869200001</v>
      </c>
      <c r="R92">
        <v>70.581100000000006</v>
      </c>
      <c r="S92">
        <f t="shared" si="1"/>
        <v>92.189752869200007</v>
      </c>
    </row>
    <row r="93" spans="1:19" x14ac:dyDescent="0.25">
      <c r="A93" t="s">
        <v>56</v>
      </c>
      <c r="B93" t="str">
        <f>"60162694"</f>
        <v>60162694</v>
      </c>
      <c r="C93" t="s">
        <v>127</v>
      </c>
      <c r="D93">
        <v>1444</v>
      </c>
      <c r="E93">
        <v>15448.637253768</v>
      </c>
      <c r="F93">
        <v>13170.704005128</v>
      </c>
      <c r="G93">
        <v>0</v>
      </c>
      <c r="H93">
        <v>0</v>
      </c>
      <c r="I93">
        <v>0</v>
      </c>
      <c r="J93">
        <v>8</v>
      </c>
      <c r="K93">
        <v>0</v>
      </c>
      <c r="L93">
        <v>2366.2199999999998</v>
      </c>
      <c r="M93">
        <v>2129.6</v>
      </c>
      <c r="N93">
        <v>0</v>
      </c>
      <c r="O93">
        <v>0</v>
      </c>
      <c r="P93">
        <v>529.67359698780001</v>
      </c>
      <c r="Q93">
        <v>529.67359698780001</v>
      </c>
      <c r="R93">
        <v>2499.6799999999998</v>
      </c>
      <c r="S93">
        <f t="shared" si="1"/>
        <v>18329.6576021158</v>
      </c>
    </row>
    <row r="94" spans="1:19" x14ac:dyDescent="0.25">
      <c r="A94" t="s">
        <v>36</v>
      </c>
      <c r="B94" t="str">
        <f>"00007064"</f>
        <v>00007064</v>
      </c>
      <c r="C94" t="s">
        <v>128</v>
      </c>
      <c r="D94">
        <v>39</v>
      </c>
      <c r="E94">
        <v>608.91051293818998</v>
      </c>
      <c r="F94">
        <v>534.20158668892998</v>
      </c>
      <c r="G94">
        <v>0</v>
      </c>
      <c r="H94">
        <v>0</v>
      </c>
      <c r="I94">
        <v>0</v>
      </c>
      <c r="J94">
        <v>3</v>
      </c>
      <c r="K94">
        <v>0</v>
      </c>
      <c r="L94">
        <v>504.02699999999999</v>
      </c>
      <c r="M94">
        <v>453.62400000000002</v>
      </c>
      <c r="N94">
        <v>0</v>
      </c>
      <c r="O94">
        <v>0</v>
      </c>
      <c r="P94">
        <v>364.96046026940002</v>
      </c>
      <c r="Q94">
        <v>364.96046026940002</v>
      </c>
      <c r="R94">
        <v>4382.08</v>
      </c>
      <c r="S94">
        <f t="shared" si="1"/>
        <v>5734.8660469583301</v>
      </c>
    </row>
    <row r="95" spans="1:19" x14ac:dyDescent="0.25">
      <c r="A95" t="s">
        <v>101</v>
      </c>
      <c r="B95" t="str">
        <f>"00094871"</f>
        <v>00094871</v>
      </c>
      <c r="C95" t="s">
        <v>129</v>
      </c>
      <c r="D95">
        <v>51</v>
      </c>
      <c r="E95">
        <v>675.23414456958994</v>
      </c>
      <c r="F95">
        <v>544.81144119629005</v>
      </c>
      <c r="G95">
        <v>0</v>
      </c>
      <c r="H95">
        <v>0</v>
      </c>
      <c r="I95">
        <v>0</v>
      </c>
      <c r="J95">
        <v>1</v>
      </c>
      <c r="K95">
        <v>0</v>
      </c>
      <c r="L95">
        <v>87.338200000000001</v>
      </c>
      <c r="M95">
        <v>78.604399999999998</v>
      </c>
      <c r="N95">
        <v>0</v>
      </c>
      <c r="O95">
        <v>0</v>
      </c>
      <c r="P95">
        <v>18.4811373597</v>
      </c>
      <c r="Q95">
        <v>18.4811373597</v>
      </c>
      <c r="R95">
        <v>29.498200000000001</v>
      </c>
      <c r="S95">
        <f t="shared" si="1"/>
        <v>671.39517855599013</v>
      </c>
    </row>
    <row r="96" spans="1:19" x14ac:dyDescent="0.25">
      <c r="A96" t="s">
        <v>27</v>
      </c>
      <c r="B96" t="str">
        <f>"26867184"</f>
        <v>26867184</v>
      </c>
      <c r="C96" t="s">
        <v>130</v>
      </c>
      <c r="D96">
        <v>15</v>
      </c>
      <c r="E96">
        <v>185.41700666667001</v>
      </c>
      <c r="F96">
        <v>85.859096380801006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P96">
        <v>0</v>
      </c>
      <c r="Q96">
        <v>0</v>
      </c>
      <c r="R96">
        <v>0</v>
      </c>
      <c r="S96">
        <f t="shared" si="1"/>
        <v>85.859096380801006</v>
      </c>
    </row>
    <row r="97" spans="1:19" x14ac:dyDescent="0.25">
      <c r="A97" t="s">
        <v>101</v>
      </c>
      <c r="B97" t="str">
        <f>"00094943"</f>
        <v>00094943</v>
      </c>
      <c r="C97" t="s">
        <v>131</v>
      </c>
      <c r="D97">
        <v>46</v>
      </c>
      <c r="E97">
        <v>866.77262573538997</v>
      </c>
      <c r="F97">
        <v>715.66341712485996</v>
      </c>
      <c r="G97">
        <v>0</v>
      </c>
      <c r="H97">
        <v>0</v>
      </c>
      <c r="I97">
        <v>0</v>
      </c>
      <c r="J97">
        <v>1</v>
      </c>
      <c r="K97">
        <v>0</v>
      </c>
      <c r="L97">
        <v>150.916</v>
      </c>
      <c r="M97">
        <v>135.82400000000001</v>
      </c>
      <c r="N97">
        <v>0</v>
      </c>
      <c r="O97">
        <v>0</v>
      </c>
      <c r="P97">
        <v>136.1723802731</v>
      </c>
      <c r="Q97">
        <v>136.1723802731</v>
      </c>
      <c r="R97">
        <v>649.05700000000002</v>
      </c>
      <c r="S97">
        <f t="shared" si="1"/>
        <v>1636.7167973979599</v>
      </c>
    </row>
    <row r="98" spans="1:19" x14ac:dyDescent="0.25">
      <c r="A98" t="s">
        <v>101</v>
      </c>
      <c r="B98" t="str">
        <f>"00094862"</f>
        <v>00094862</v>
      </c>
      <c r="C98" t="s">
        <v>132</v>
      </c>
      <c r="D98">
        <v>419</v>
      </c>
      <c r="E98">
        <v>3903.5369907833001</v>
      </c>
      <c r="F98">
        <v>3231.5006598251998</v>
      </c>
      <c r="G98">
        <v>0</v>
      </c>
      <c r="H98">
        <v>0</v>
      </c>
      <c r="I98">
        <v>0</v>
      </c>
      <c r="J98">
        <v>1.6</v>
      </c>
      <c r="K98">
        <v>0</v>
      </c>
      <c r="L98">
        <v>319.84899999999999</v>
      </c>
      <c r="M98">
        <v>287.86399999999998</v>
      </c>
      <c r="N98">
        <v>0</v>
      </c>
      <c r="O98">
        <v>0</v>
      </c>
      <c r="P98">
        <v>10.2696320101</v>
      </c>
      <c r="Q98">
        <v>10.2696320101</v>
      </c>
      <c r="R98">
        <v>22.227399999999999</v>
      </c>
      <c r="S98">
        <f t="shared" si="1"/>
        <v>3551.8616918353</v>
      </c>
    </row>
    <row r="99" spans="1:19" x14ac:dyDescent="0.25">
      <c r="A99" t="s">
        <v>101</v>
      </c>
      <c r="B99" t="str">
        <f>"00092142"</f>
        <v>00092142</v>
      </c>
      <c r="C99" t="s">
        <v>133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P99">
        <v>0</v>
      </c>
      <c r="Q99">
        <v>0</v>
      </c>
      <c r="R99">
        <v>0</v>
      </c>
      <c r="S99">
        <f t="shared" si="1"/>
        <v>0</v>
      </c>
    </row>
    <row r="100" spans="1:19" x14ac:dyDescent="0.25">
      <c r="A100" t="s">
        <v>134</v>
      </c>
      <c r="B100" t="str">
        <f>"00098574"</f>
        <v>00098574</v>
      </c>
      <c r="C100" t="s">
        <v>135</v>
      </c>
      <c r="D100">
        <v>5</v>
      </c>
      <c r="E100">
        <v>10.668159390863</v>
      </c>
      <c r="F100">
        <v>7.5790189936018004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P100">
        <v>0</v>
      </c>
      <c r="Q100">
        <v>0</v>
      </c>
      <c r="R100">
        <v>0</v>
      </c>
      <c r="S100">
        <f t="shared" si="1"/>
        <v>7.5790189936018004</v>
      </c>
    </row>
    <row r="101" spans="1:19" x14ac:dyDescent="0.25">
      <c r="A101" t="s">
        <v>101</v>
      </c>
      <c r="B101" t="str">
        <f>"00079481"</f>
        <v>00079481</v>
      </c>
      <c r="C101" t="s">
        <v>136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P101">
        <v>0</v>
      </c>
      <c r="Q101">
        <v>0</v>
      </c>
      <c r="R101">
        <v>0</v>
      </c>
      <c r="S101">
        <f t="shared" si="1"/>
        <v>0</v>
      </c>
    </row>
    <row r="102" spans="1:19" x14ac:dyDescent="0.25">
      <c r="A102" t="s">
        <v>101</v>
      </c>
      <c r="B102" t="str">
        <f>"75079950"</f>
        <v>75079950</v>
      </c>
      <c r="C102" t="s">
        <v>137</v>
      </c>
      <c r="D102">
        <v>2</v>
      </c>
      <c r="E102">
        <v>8</v>
      </c>
      <c r="F102">
        <v>4.8025875592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P102">
        <v>0</v>
      </c>
      <c r="Q102">
        <v>0</v>
      </c>
      <c r="R102">
        <v>0</v>
      </c>
      <c r="S102">
        <f t="shared" si="1"/>
        <v>4.8025875592</v>
      </c>
    </row>
    <row r="103" spans="1:19" x14ac:dyDescent="0.25">
      <c r="A103" t="s">
        <v>138</v>
      </c>
      <c r="B103" t="str">
        <f>"00088382"</f>
        <v>00088382</v>
      </c>
      <c r="C103" t="s">
        <v>139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2.2734000000000001</v>
      </c>
      <c r="M103">
        <v>2.0460600000000002</v>
      </c>
      <c r="N103">
        <v>0</v>
      </c>
      <c r="P103">
        <v>0</v>
      </c>
      <c r="Q103">
        <v>0</v>
      </c>
      <c r="R103">
        <v>0</v>
      </c>
      <c r="S103">
        <f t="shared" si="1"/>
        <v>2.0460600000000002</v>
      </c>
    </row>
    <row r="104" spans="1:19" x14ac:dyDescent="0.25">
      <c r="A104" t="s">
        <v>140</v>
      </c>
      <c r="B104" t="str">
        <f>"00090735"</f>
        <v>00090735</v>
      </c>
      <c r="C104" t="s">
        <v>141</v>
      </c>
      <c r="D104">
        <v>2</v>
      </c>
      <c r="E104">
        <v>40</v>
      </c>
      <c r="F104">
        <v>45.057998657227003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8.3952000000000009</v>
      </c>
      <c r="M104">
        <v>7.5556799999999997</v>
      </c>
      <c r="N104">
        <v>0</v>
      </c>
      <c r="O104">
        <v>0</v>
      </c>
      <c r="P104">
        <v>14.5748969632</v>
      </c>
      <c r="Q104">
        <v>14.5748969632</v>
      </c>
      <c r="R104">
        <v>30.170999999999999</v>
      </c>
      <c r="S104">
        <f t="shared" si="1"/>
        <v>97.359575620426995</v>
      </c>
    </row>
    <row r="105" spans="1:19" x14ac:dyDescent="0.25">
      <c r="A105" t="s">
        <v>36</v>
      </c>
      <c r="B105" t="str">
        <f>"70979821"</f>
        <v>70979821</v>
      </c>
      <c r="C105" t="s">
        <v>142</v>
      </c>
      <c r="D105">
        <v>166</v>
      </c>
      <c r="E105">
        <v>1324.1557907199999</v>
      </c>
      <c r="F105">
        <v>1027.8938287956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251.66800000000001</v>
      </c>
      <c r="M105">
        <v>226.501</v>
      </c>
      <c r="N105">
        <v>0</v>
      </c>
      <c r="O105">
        <v>0</v>
      </c>
      <c r="P105">
        <v>29.317804266100001</v>
      </c>
      <c r="Q105">
        <v>29.317804266100001</v>
      </c>
      <c r="R105">
        <v>287.30200000000002</v>
      </c>
      <c r="S105">
        <f t="shared" si="1"/>
        <v>1571.0146330616999</v>
      </c>
    </row>
    <row r="106" spans="1:19" x14ac:dyDescent="0.25">
      <c r="A106" t="s">
        <v>101</v>
      </c>
      <c r="B106" t="str">
        <f>"00057266"</f>
        <v>00057266</v>
      </c>
      <c r="C106" t="s">
        <v>143</v>
      </c>
      <c r="D106">
        <v>6</v>
      </c>
      <c r="E106">
        <v>81.161583333332999</v>
      </c>
      <c r="F106">
        <v>83.38739131765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9.0306899999999999</v>
      </c>
      <c r="M106">
        <v>8.1276200000000003</v>
      </c>
      <c r="N106">
        <v>0</v>
      </c>
      <c r="P106">
        <v>0</v>
      </c>
      <c r="Q106">
        <v>0</v>
      </c>
      <c r="R106">
        <v>63.275599999999997</v>
      </c>
      <c r="S106">
        <f t="shared" si="1"/>
        <v>154.79061131764999</v>
      </c>
    </row>
    <row r="107" spans="1:19" x14ac:dyDescent="0.25">
      <c r="A107" t="s">
        <v>101</v>
      </c>
      <c r="B107" t="str">
        <f>"00023281"</f>
        <v>00023281</v>
      </c>
      <c r="C107" t="s">
        <v>144</v>
      </c>
      <c r="D107">
        <v>201</v>
      </c>
      <c r="E107">
        <v>2550.3877921069002</v>
      </c>
      <c r="F107">
        <v>2172.7780079034001</v>
      </c>
      <c r="G107">
        <v>0</v>
      </c>
      <c r="H107">
        <v>0</v>
      </c>
      <c r="I107">
        <v>0</v>
      </c>
      <c r="J107">
        <v>1</v>
      </c>
      <c r="K107">
        <v>0.5</v>
      </c>
      <c r="L107">
        <v>204.39699999999999</v>
      </c>
      <c r="M107">
        <v>228.87200000000001</v>
      </c>
      <c r="N107">
        <v>0</v>
      </c>
      <c r="O107">
        <v>0</v>
      </c>
      <c r="P107">
        <v>263.39820996079999</v>
      </c>
      <c r="Q107">
        <v>263.39820996079999</v>
      </c>
      <c r="R107">
        <v>372.15300000000002</v>
      </c>
      <c r="S107">
        <f t="shared" si="1"/>
        <v>3037.2012178641999</v>
      </c>
    </row>
    <row r="108" spans="1:19" x14ac:dyDescent="0.25">
      <c r="A108" t="s">
        <v>101</v>
      </c>
      <c r="B108" t="str">
        <f>"14450551"</f>
        <v>14450551</v>
      </c>
      <c r="C108" t="s">
        <v>145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0.99711000000000005</v>
      </c>
      <c r="M108">
        <v>0.89739899999999995</v>
      </c>
      <c r="N108">
        <v>0</v>
      </c>
      <c r="P108">
        <v>0</v>
      </c>
      <c r="Q108">
        <v>0</v>
      </c>
      <c r="R108">
        <v>0</v>
      </c>
      <c r="S108">
        <f t="shared" si="1"/>
        <v>0.89739899999999995</v>
      </c>
    </row>
    <row r="109" spans="1:19" x14ac:dyDescent="0.25">
      <c r="A109" t="s">
        <v>101</v>
      </c>
      <c r="B109" t="str">
        <f>"00023221"</f>
        <v>00023221</v>
      </c>
      <c r="C109" t="s">
        <v>146</v>
      </c>
      <c r="D109">
        <v>49</v>
      </c>
      <c r="E109">
        <v>550.11358439472997</v>
      </c>
      <c r="F109">
        <v>392.74091431399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127.464</v>
      </c>
      <c r="M109">
        <v>114.718</v>
      </c>
      <c r="N109">
        <v>0</v>
      </c>
      <c r="O109">
        <v>0</v>
      </c>
      <c r="P109">
        <v>402.6367789322</v>
      </c>
      <c r="Q109">
        <v>402.6367789322</v>
      </c>
      <c r="R109">
        <v>1615.86</v>
      </c>
      <c r="S109">
        <f t="shared" si="1"/>
        <v>2525.9556932461901</v>
      </c>
    </row>
    <row r="110" spans="1:19" x14ac:dyDescent="0.25">
      <c r="A110" t="s">
        <v>65</v>
      </c>
      <c r="B110" t="str">
        <f>"00023825"</f>
        <v>00023825</v>
      </c>
      <c r="C110" t="s">
        <v>147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2.7005400000000002</v>
      </c>
      <c r="M110">
        <v>2.4304899999999998</v>
      </c>
      <c r="N110">
        <v>0</v>
      </c>
      <c r="P110">
        <v>0</v>
      </c>
      <c r="Q110">
        <v>0</v>
      </c>
      <c r="R110">
        <v>36.017000000000003</v>
      </c>
      <c r="S110">
        <f t="shared" si="1"/>
        <v>38.447490000000002</v>
      </c>
    </row>
    <row r="111" spans="1:19" x14ac:dyDescent="0.25">
      <c r="A111" t="s">
        <v>101</v>
      </c>
      <c r="B111" t="str">
        <f>"00023272"</f>
        <v>00023272</v>
      </c>
      <c r="C111" t="s">
        <v>148</v>
      </c>
      <c r="D111">
        <v>902</v>
      </c>
      <c r="E111">
        <v>11645.796449453001</v>
      </c>
      <c r="F111">
        <v>10065.890477626999</v>
      </c>
      <c r="G111">
        <v>0</v>
      </c>
      <c r="H111">
        <v>0</v>
      </c>
      <c r="I111">
        <v>0</v>
      </c>
      <c r="J111">
        <v>3</v>
      </c>
      <c r="K111">
        <v>0.25</v>
      </c>
      <c r="L111">
        <v>993.51</v>
      </c>
      <c r="M111">
        <v>930.54499999999996</v>
      </c>
      <c r="N111">
        <v>0</v>
      </c>
      <c r="O111">
        <v>0</v>
      </c>
      <c r="P111">
        <v>301.26354025569998</v>
      </c>
      <c r="Q111">
        <v>301.26354025569998</v>
      </c>
      <c r="R111">
        <v>942.5</v>
      </c>
      <c r="S111">
        <f t="shared" si="1"/>
        <v>12240.1990178827</v>
      </c>
    </row>
    <row r="112" spans="1:19" x14ac:dyDescent="0.25">
      <c r="A112" t="s">
        <v>101</v>
      </c>
      <c r="B112" t="str">
        <f>"75032333"</f>
        <v>75032333</v>
      </c>
      <c r="C112" t="s">
        <v>149</v>
      </c>
      <c r="D112">
        <v>570</v>
      </c>
      <c r="E112">
        <v>6264.9818020637003</v>
      </c>
      <c r="F112">
        <v>4979.6711182095996</v>
      </c>
      <c r="G112">
        <v>0</v>
      </c>
      <c r="H112">
        <v>0</v>
      </c>
      <c r="I112">
        <v>0</v>
      </c>
      <c r="J112">
        <v>2</v>
      </c>
      <c r="K112">
        <v>0</v>
      </c>
      <c r="L112">
        <v>525.28300000000002</v>
      </c>
      <c r="M112">
        <v>472.755</v>
      </c>
      <c r="N112">
        <v>0</v>
      </c>
      <c r="O112">
        <v>0</v>
      </c>
      <c r="P112">
        <v>706.48347815980003</v>
      </c>
      <c r="Q112">
        <v>706.48347815980003</v>
      </c>
      <c r="R112">
        <v>2453.08</v>
      </c>
      <c r="S112">
        <f t="shared" si="1"/>
        <v>8611.9895963693998</v>
      </c>
    </row>
    <row r="113" spans="1:19" x14ac:dyDescent="0.25">
      <c r="A113" t="s">
        <v>27</v>
      </c>
      <c r="B113" t="str">
        <f>"61387169"</f>
        <v>61387169</v>
      </c>
      <c r="C113" t="s">
        <v>150</v>
      </c>
      <c r="D113">
        <v>7</v>
      </c>
      <c r="E113">
        <v>2.4264368309217001</v>
      </c>
      <c r="F113">
        <v>1.4831386882494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P113">
        <v>0</v>
      </c>
      <c r="Q113">
        <v>0</v>
      </c>
      <c r="R113">
        <v>0</v>
      </c>
      <c r="S113">
        <f t="shared" si="1"/>
        <v>1.4831386882494</v>
      </c>
    </row>
    <row r="114" spans="1:19" x14ac:dyDescent="0.25">
      <c r="A114" t="s">
        <v>27</v>
      </c>
      <c r="B114" t="str">
        <f>"61387142"</f>
        <v>61387142</v>
      </c>
      <c r="C114" t="s">
        <v>151</v>
      </c>
      <c r="D114">
        <v>4</v>
      </c>
      <c r="E114">
        <v>26.666000366211001</v>
      </c>
      <c r="F114">
        <v>19.458000659943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7.3280700000000003</v>
      </c>
      <c r="M114">
        <v>6.5952599999999997</v>
      </c>
      <c r="N114">
        <v>0</v>
      </c>
      <c r="P114">
        <v>0</v>
      </c>
      <c r="Q114">
        <v>0</v>
      </c>
      <c r="R114">
        <v>0</v>
      </c>
      <c r="S114">
        <f t="shared" si="1"/>
        <v>26.053260659943</v>
      </c>
    </row>
    <row r="115" spans="1:19" x14ac:dyDescent="0.25">
      <c r="A115" t="s">
        <v>101</v>
      </c>
      <c r="B115" t="str">
        <f>"00023299"</f>
        <v>00023299</v>
      </c>
      <c r="C115" t="s">
        <v>152</v>
      </c>
      <c r="D115">
        <v>176</v>
      </c>
      <c r="E115">
        <v>1301.9453457702</v>
      </c>
      <c r="F115">
        <v>996.27276714285995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84.365499999999997</v>
      </c>
      <c r="M115">
        <v>75.928899999999999</v>
      </c>
      <c r="N115">
        <v>0</v>
      </c>
      <c r="O115">
        <v>0</v>
      </c>
      <c r="P115">
        <v>108.1566561392</v>
      </c>
      <c r="Q115">
        <v>108.1566561392</v>
      </c>
      <c r="R115">
        <v>419.49900000000002</v>
      </c>
      <c r="S115">
        <f t="shared" si="1"/>
        <v>1599.8573232820602</v>
      </c>
    </row>
    <row r="116" spans="1:19" x14ac:dyDescent="0.25">
      <c r="A116" t="s">
        <v>65</v>
      </c>
      <c r="B116" t="str">
        <f>"00023752"</f>
        <v>00023752</v>
      </c>
      <c r="C116" t="s">
        <v>153</v>
      </c>
      <c r="D116">
        <v>283</v>
      </c>
      <c r="E116">
        <v>3481.6124036995998</v>
      </c>
      <c r="F116">
        <v>2888.6296168168001</v>
      </c>
      <c r="G116">
        <v>0</v>
      </c>
      <c r="H116">
        <v>0</v>
      </c>
      <c r="I116">
        <v>0</v>
      </c>
      <c r="J116">
        <v>1.85</v>
      </c>
      <c r="K116">
        <v>0.9</v>
      </c>
      <c r="L116">
        <v>491.30200000000002</v>
      </c>
      <c r="M116">
        <v>547.21400000000006</v>
      </c>
      <c r="N116">
        <v>0</v>
      </c>
      <c r="O116">
        <v>0</v>
      </c>
      <c r="P116">
        <v>611.05360524790001</v>
      </c>
      <c r="Q116">
        <v>611.05360524790001</v>
      </c>
      <c r="R116">
        <v>1682.22</v>
      </c>
      <c r="S116">
        <f t="shared" si="1"/>
        <v>5729.1172220647004</v>
      </c>
    </row>
    <row r="117" spans="1:19" x14ac:dyDescent="0.25">
      <c r="A117" t="s">
        <v>101</v>
      </c>
      <c r="B117" t="str">
        <f>"00094927"</f>
        <v>00094927</v>
      </c>
      <c r="C117" t="s">
        <v>154</v>
      </c>
      <c r="D117">
        <v>66</v>
      </c>
      <c r="E117">
        <v>1177.5521692868999</v>
      </c>
      <c r="F117">
        <v>991.27008617409001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74.451999999999998</v>
      </c>
      <c r="M117">
        <v>67.006799999999998</v>
      </c>
      <c r="N117">
        <v>0</v>
      </c>
      <c r="O117">
        <v>0</v>
      </c>
      <c r="P117">
        <v>65.965059598699995</v>
      </c>
      <c r="Q117">
        <v>65.965059598699995</v>
      </c>
      <c r="R117">
        <v>346.83199999999999</v>
      </c>
      <c r="S117">
        <f t="shared" si="1"/>
        <v>1471.07394577279</v>
      </c>
    </row>
    <row r="118" spans="1:19" x14ac:dyDescent="0.25">
      <c r="A118" t="s">
        <v>29</v>
      </c>
      <c r="B118" t="str">
        <f>"75075741"</f>
        <v>75075741</v>
      </c>
      <c r="C118" t="s">
        <v>155</v>
      </c>
      <c r="D118">
        <v>97</v>
      </c>
      <c r="E118">
        <v>929.69481804892996</v>
      </c>
      <c r="F118">
        <v>794.51064021793002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85.420199999999994</v>
      </c>
      <c r="M118">
        <v>76.878200000000007</v>
      </c>
      <c r="N118">
        <v>0</v>
      </c>
      <c r="O118">
        <v>0</v>
      </c>
      <c r="P118">
        <v>65.923057013800005</v>
      </c>
      <c r="Q118">
        <v>65.923057013800005</v>
      </c>
      <c r="R118">
        <v>150.39699999999999</v>
      </c>
      <c r="S118">
        <f t="shared" si="1"/>
        <v>1087.7088972317299</v>
      </c>
    </row>
    <row r="119" spans="1:19" x14ac:dyDescent="0.25">
      <c r="A119" t="s">
        <v>42</v>
      </c>
      <c r="B119" t="str">
        <f>"67985998"</f>
        <v>67985998</v>
      </c>
      <c r="C119" t="s">
        <v>156</v>
      </c>
      <c r="D119">
        <v>150</v>
      </c>
      <c r="E119">
        <v>3061.6333269856</v>
      </c>
      <c r="F119">
        <v>2527.9996530331</v>
      </c>
      <c r="G119">
        <v>0</v>
      </c>
      <c r="H119">
        <v>0</v>
      </c>
      <c r="I119">
        <v>0</v>
      </c>
      <c r="J119">
        <v>3.05</v>
      </c>
      <c r="K119">
        <v>0.5</v>
      </c>
      <c r="L119">
        <v>863.03700000000003</v>
      </c>
      <c r="M119">
        <v>838.91200000000003</v>
      </c>
      <c r="N119">
        <v>0</v>
      </c>
      <c r="O119">
        <v>0</v>
      </c>
      <c r="P119">
        <v>82.367069005399998</v>
      </c>
      <c r="Q119">
        <v>82.367069005399998</v>
      </c>
      <c r="R119">
        <v>294.97399999999999</v>
      </c>
      <c r="S119">
        <f t="shared" si="1"/>
        <v>3744.2527220385005</v>
      </c>
    </row>
    <row r="120" spans="1:19" x14ac:dyDescent="0.25">
      <c r="A120" t="s">
        <v>65</v>
      </c>
      <c r="B120" t="str">
        <f>"00064211"</f>
        <v>00064211</v>
      </c>
      <c r="C120" t="s">
        <v>157</v>
      </c>
      <c r="D120">
        <v>170</v>
      </c>
      <c r="E120">
        <v>1556.3062668811001</v>
      </c>
      <c r="F120">
        <v>1354.1794827934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130.494</v>
      </c>
      <c r="M120">
        <v>117.44499999999999</v>
      </c>
      <c r="N120">
        <v>0</v>
      </c>
      <c r="O120">
        <v>0</v>
      </c>
      <c r="P120">
        <v>131.6361011031</v>
      </c>
      <c r="Q120">
        <v>131.6361011031</v>
      </c>
      <c r="R120">
        <v>390.61500000000001</v>
      </c>
      <c r="S120">
        <f t="shared" si="1"/>
        <v>1993.8755838964998</v>
      </c>
    </row>
    <row r="121" spans="1:19" x14ac:dyDescent="0.25">
      <c r="A121" t="s">
        <v>65</v>
      </c>
      <c r="B121" t="str">
        <f>"00023884"</f>
        <v>00023884</v>
      </c>
      <c r="C121" t="s">
        <v>158</v>
      </c>
      <c r="D121">
        <v>218</v>
      </c>
      <c r="E121">
        <v>4024.5437075271002</v>
      </c>
      <c r="F121">
        <v>3459.1429608469998</v>
      </c>
      <c r="G121">
        <v>0</v>
      </c>
      <c r="H121">
        <v>0</v>
      </c>
      <c r="I121">
        <v>0</v>
      </c>
      <c r="J121">
        <v>2</v>
      </c>
      <c r="K121">
        <v>0.86</v>
      </c>
      <c r="L121">
        <v>411.75799999999998</v>
      </c>
      <c r="M121">
        <v>448.39600000000002</v>
      </c>
      <c r="N121">
        <v>0</v>
      </c>
      <c r="O121">
        <v>0</v>
      </c>
      <c r="P121">
        <v>100.8692076576</v>
      </c>
      <c r="Q121">
        <v>100.8692076576</v>
      </c>
      <c r="R121">
        <v>323.00400000000002</v>
      </c>
      <c r="S121">
        <f t="shared" si="1"/>
        <v>4331.4121685046002</v>
      </c>
    </row>
    <row r="122" spans="1:19" x14ac:dyDescent="0.25">
      <c r="A122" t="s">
        <v>27</v>
      </c>
      <c r="B122" t="str">
        <f>"27081869"</f>
        <v>27081869</v>
      </c>
      <c r="C122" t="s">
        <v>159</v>
      </c>
      <c r="D122">
        <v>19</v>
      </c>
      <c r="E122">
        <v>52.671899974727999</v>
      </c>
      <c r="F122">
        <v>42.435712518999999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3.1436999999999999</v>
      </c>
      <c r="M122">
        <v>2.8293300000000001</v>
      </c>
      <c r="N122">
        <v>0</v>
      </c>
      <c r="P122">
        <v>0</v>
      </c>
      <c r="Q122">
        <v>0</v>
      </c>
      <c r="R122">
        <v>0</v>
      </c>
      <c r="S122">
        <f t="shared" si="1"/>
        <v>45.265042518999998</v>
      </c>
    </row>
    <row r="123" spans="1:19" x14ac:dyDescent="0.25">
      <c r="A123" t="s">
        <v>42</v>
      </c>
      <c r="B123" t="str">
        <f>"68378009"</f>
        <v>68378009</v>
      </c>
      <c r="C123" t="s">
        <v>160</v>
      </c>
      <c r="D123">
        <v>94</v>
      </c>
      <c r="E123">
        <v>1233.3470975273999</v>
      </c>
      <c r="F123">
        <v>1050.952242326</v>
      </c>
      <c r="G123">
        <v>0</v>
      </c>
      <c r="H123">
        <v>0</v>
      </c>
      <c r="I123">
        <v>0</v>
      </c>
      <c r="J123">
        <v>2</v>
      </c>
      <c r="K123">
        <v>1</v>
      </c>
      <c r="L123">
        <v>184.45</v>
      </c>
      <c r="M123">
        <v>206.53700000000001</v>
      </c>
      <c r="N123">
        <v>0</v>
      </c>
      <c r="P123">
        <v>0</v>
      </c>
      <c r="Q123">
        <v>0</v>
      </c>
      <c r="R123">
        <v>3.8686500000000001</v>
      </c>
      <c r="S123">
        <f t="shared" si="1"/>
        <v>1261.357892326</v>
      </c>
    </row>
    <row r="124" spans="1:19" x14ac:dyDescent="0.25">
      <c r="A124" t="s">
        <v>29</v>
      </c>
      <c r="B124" t="str">
        <f>"26791251"</f>
        <v>26791251</v>
      </c>
      <c r="C124" t="s">
        <v>161</v>
      </c>
      <c r="D124">
        <v>42</v>
      </c>
      <c r="E124">
        <v>135.75837619117999</v>
      </c>
      <c r="F124">
        <v>116.58028230642999</v>
      </c>
      <c r="G124">
        <v>0</v>
      </c>
      <c r="H124">
        <v>0</v>
      </c>
      <c r="I124">
        <v>0</v>
      </c>
      <c r="J124">
        <v>1</v>
      </c>
      <c r="K124">
        <v>0</v>
      </c>
      <c r="L124">
        <v>105.33199999999999</v>
      </c>
      <c r="M124">
        <v>94.7988</v>
      </c>
      <c r="N124">
        <v>65</v>
      </c>
      <c r="O124">
        <v>30.714285850524998</v>
      </c>
      <c r="P124">
        <v>57.648547786800002</v>
      </c>
      <c r="Q124">
        <v>88.3628336373</v>
      </c>
      <c r="R124">
        <v>719.12199999999996</v>
      </c>
      <c r="S124">
        <f t="shared" si="1"/>
        <v>1018.86391594373</v>
      </c>
    </row>
    <row r="125" spans="1:19" x14ac:dyDescent="0.25">
      <c r="A125" t="s">
        <v>27</v>
      </c>
      <c r="B125" t="str">
        <f>"61988987"</f>
        <v>61988987</v>
      </c>
      <c r="C125" t="s">
        <v>162</v>
      </c>
      <c r="D125">
        <v>2761</v>
      </c>
      <c r="E125">
        <v>39907.662687092998</v>
      </c>
      <c r="F125">
        <v>32903.505528059999</v>
      </c>
      <c r="G125">
        <v>0</v>
      </c>
      <c r="H125">
        <v>0</v>
      </c>
      <c r="I125">
        <v>0</v>
      </c>
      <c r="J125">
        <v>8.91</v>
      </c>
      <c r="K125">
        <v>1</v>
      </c>
      <c r="L125">
        <v>3102.02</v>
      </c>
      <c r="M125">
        <v>2944.83</v>
      </c>
      <c r="N125">
        <v>50</v>
      </c>
      <c r="O125">
        <v>33.333332061767997</v>
      </c>
      <c r="P125">
        <v>154.96853701960001</v>
      </c>
      <c r="Q125">
        <v>188.30186908140001</v>
      </c>
      <c r="R125">
        <v>654.06100000000004</v>
      </c>
      <c r="S125">
        <f t="shared" si="1"/>
        <v>36690.698397141401</v>
      </c>
    </row>
    <row r="126" spans="1:19" x14ac:dyDescent="0.25">
      <c r="A126" t="s">
        <v>101</v>
      </c>
      <c r="B126" t="str">
        <f>"00023311"</f>
        <v>00023311</v>
      </c>
      <c r="C126" t="s">
        <v>163</v>
      </c>
      <c r="D126">
        <v>51</v>
      </c>
      <c r="E126">
        <v>447.41056149989998</v>
      </c>
      <c r="F126">
        <v>377.94756200457999</v>
      </c>
      <c r="G126">
        <v>0</v>
      </c>
      <c r="H126">
        <v>0</v>
      </c>
      <c r="I126">
        <v>0</v>
      </c>
      <c r="J126">
        <v>1</v>
      </c>
      <c r="K126">
        <v>0</v>
      </c>
      <c r="L126">
        <v>20.6752</v>
      </c>
      <c r="M126">
        <v>18.607700000000001</v>
      </c>
      <c r="N126">
        <v>0</v>
      </c>
      <c r="P126">
        <v>0</v>
      </c>
      <c r="Q126">
        <v>0</v>
      </c>
      <c r="R126">
        <v>0</v>
      </c>
      <c r="S126">
        <f t="shared" si="1"/>
        <v>396.55526200458002</v>
      </c>
    </row>
    <row r="127" spans="1:19" x14ac:dyDescent="0.25">
      <c r="A127" t="s">
        <v>36</v>
      </c>
      <c r="B127" t="str">
        <f>"48135445"</f>
        <v>48135445</v>
      </c>
      <c r="C127" t="s">
        <v>164</v>
      </c>
      <c r="D127">
        <v>129</v>
      </c>
      <c r="E127">
        <v>1288.9862260931</v>
      </c>
      <c r="F127">
        <v>1087.3920324578</v>
      </c>
      <c r="G127">
        <v>0</v>
      </c>
      <c r="H127">
        <v>0</v>
      </c>
      <c r="I127">
        <v>0</v>
      </c>
      <c r="J127">
        <v>1</v>
      </c>
      <c r="K127">
        <v>0</v>
      </c>
      <c r="L127">
        <v>173.625</v>
      </c>
      <c r="M127">
        <v>156.262</v>
      </c>
      <c r="N127">
        <v>0</v>
      </c>
      <c r="P127">
        <v>0</v>
      </c>
      <c r="Q127">
        <v>0</v>
      </c>
      <c r="R127">
        <v>0</v>
      </c>
      <c r="S127">
        <f t="shared" si="1"/>
        <v>1243.6540324578</v>
      </c>
    </row>
    <row r="128" spans="1:19" x14ac:dyDescent="0.25">
      <c r="A128" t="s">
        <v>42</v>
      </c>
      <c r="B128" t="str">
        <f>"68081740"</f>
        <v>68081740</v>
      </c>
      <c r="C128" t="s">
        <v>165</v>
      </c>
      <c r="D128">
        <v>203</v>
      </c>
      <c r="E128">
        <v>2356.5919046095</v>
      </c>
      <c r="F128">
        <v>1664.3609382471</v>
      </c>
      <c r="G128">
        <v>0</v>
      </c>
      <c r="H128">
        <v>0</v>
      </c>
      <c r="I128">
        <v>0</v>
      </c>
      <c r="J128">
        <v>2</v>
      </c>
      <c r="K128">
        <v>1</v>
      </c>
      <c r="L128">
        <v>197.626</v>
      </c>
      <c r="M128">
        <v>221.29</v>
      </c>
      <c r="N128">
        <v>0</v>
      </c>
      <c r="P128">
        <v>0</v>
      </c>
      <c r="Q128">
        <v>0</v>
      </c>
      <c r="R128">
        <v>11.7265</v>
      </c>
      <c r="S128">
        <f t="shared" si="1"/>
        <v>1897.3774382470999</v>
      </c>
    </row>
    <row r="129" spans="1:19" x14ac:dyDescent="0.25">
      <c r="A129" t="s">
        <v>65</v>
      </c>
      <c r="B129" t="str">
        <f>"00023728"</f>
        <v>00023728</v>
      </c>
      <c r="C129" t="s">
        <v>166</v>
      </c>
      <c r="D129">
        <v>186</v>
      </c>
      <c r="E129">
        <v>3360.6154997056001</v>
      </c>
      <c r="F129">
        <v>2932.9045317832001</v>
      </c>
      <c r="G129">
        <v>0</v>
      </c>
      <c r="H129">
        <v>0</v>
      </c>
      <c r="I129">
        <v>0</v>
      </c>
      <c r="J129">
        <v>1</v>
      </c>
      <c r="K129">
        <v>0</v>
      </c>
      <c r="L129">
        <v>324.39100000000002</v>
      </c>
      <c r="M129">
        <v>291.952</v>
      </c>
      <c r="N129">
        <v>0</v>
      </c>
      <c r="O129">
        <v>0</v>
      </c>
      <c r="P129">
        <v>278.96016766930001</v>
      </c>
      <c r="Q129">
        <v>278.96016766930001</v>
      </c>
      <c r="R129">
        <v>957.69799999999998</v>
      </c>
      <c r="S129">
        <f t="shared" si="1"/>
        <v>4461.5146994525003</v>
      </c>
    </row>
    <row r="130" spans="1:19" x14ac:dyDescent="0.25">
      <c r="A130" t="s">
        <v>27</v>
      </c>
      <c r="B130" t="str">
        <f>"47813059"</f>
        <v>47813059</v>
      </c>
      <c r="C130" t="s">
        <v>167</v>
      </c>
      <c r="D130">
        <v>1603</v>
      </c>
      <c r="E130">
        <v>23811.983006285001</v>
      </c>
      <c r="F130">
        <v>21039.591914319</v>
      </c>
      <c r="G130">
        <v>0</v>
      </c>
      <c r="H130">
        <v>0</v>
      </c>
      <c r="I130">
        <v>0</v>
      </c>
      <c r="J130">
        <v>5</v>
      </c>
      <c r="K130">
        <v>0.83</v>
      </c>
      <c r="L130">
        <v>1582.41</v>
      </c>
      <c r="M130">
        <v>1539.61</v>
      </c>
      <c r="N130">
        <v>0</v>
      </c>
      <c r="O130">
        <v>0</v>
      </c>
      <c r="P130">
        <v>11.991737991400001</v>
      </c>
      <c r="Q130">
        <v>11.991737991400001</v>
      </c>
      <c r="R130">
        <v>26.747599999999998</v>
      </c>
      <c r="S130">
        <f t="shared" si="1"/>
        <v>22617.9412523104</v>
      </c>
    </row>
    <row r="131" spans="1:19" x14ac:dyDescent="0.25">
      <c r="A131" t="s">
        <v>101</v>
      </c>
      <c r="B131" t="str">
        <f>"00100595"</f>
        <v>00100595</v>
      </c>
      <c r="C131" t="s">
        <v>168</v>
      </c>
      <c r="D131">
        <v>109</v>
      </c>
      <c r="E131">
        <v>1581.8617629826001</v>
      </c>
      <c r="F131">
        <v>1296.2970882453001</v>
      </c>
      <c r="G131">
        <v>0</v>
      </c>
      <c r="H131">
        <v>0</v>
      </c>
      <c r="I131">
        <v>0</v>
      </c>
      <c r="J131">
        <v>1</v>
      </c>
      <c r="K131">
        <v>0</v>
      </c>
      <c r="L131">
        <v>102.331</v>
      </c>
      <c r="M131">
        <v>92.097899999999996</v>
      </c>
      <c r="N131">
        <v>0</v>
      </c>
      <c r="O131">
        <v>0</v>
      </c>
      <c r="P131">
        <v>61.0087545795</v>
      </c>
      <c r="Q131">
        <v>61.0087545795</v>
      </c>
      <c r="R131">
        <v>254.27600000000001</v>
      </c>
      <c r="S131">
        <f t="shared" si="1"/>
        <v>1703.6797428248001</v>
      </c>
    </row>
    <row r="132" spans="1:19" x14ac:dyDescent="0.25">
      <c r="A132" t="s">
        <v>42</v>
      </c>
      <c r="B132" t="str">
        <f>"68378017"</f>
        <v>68378017</v>
      </c>
      <c r="C132" t="s">
        <v>169</v>
      </c>
      <c r="D132">
        <v>149</v>
      </c>
      <c r="E132">
        <v>2198.4931590995002</v>
      </c>
      <c r="F132">
        <v>1924.9631422550999</v>
      </c>
      <c r="G132">
        <v>0</v>
      </c>
      <c r="H132">
        <v>0</v>
      </c>
      <c r="I132">
        <v>0</v>
      </c>
      <c r="J132">
        <v>2</v>
      </c>
      <c r="K132">
        <v>0</v>
      </c>
      <c r="L132">
        <v>297.625</v>
      </c>
      <c r="M132">
        <v>267.86200000000002</v>
      </c>
      <c r="N132">
        <v>0</v>
      </c>
      <c r="P132">
        <v>0</v>
      </c>
      <c r="Q132">
        <v>0</v>
      </c>
      <c r="R132">
        <v>0</v>
      </c>
      <c r="S132">
        <f t="shared" ref="S132:S195" si="2">F132+I132+M132+Q132+R132</f>
        <v>2192.8251422550998</v>
      </c>
    </row>
    <row r="133" spans="1:19" x14ac:dyDescent="0.25">
      <c r="A133" t="s">
        <v>36</v>
      </c>
      <c r="B133" t="str">
        <f>"28586336"</f>
        <v>28586336</v>
      </c>
      <c r="C133" t="s">
        <v>170</v>
      </c>
      <c r="D133">
        <v>4</v>
      </c>
      <c r="E133">
        <v>28.042113429257</v>
      </c>
      <c r="F133">
        <v>23.762718668973999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41.036525455499998</v>
      </c>
      <c r="Q133">
        <v>41.036525455499998</v>
      </c>
      <c r="R133">
        <v>141.93</v>
      </c>
      <c r="S133">
        <f t="shared" si="2"/>
        <v>206.72924412447401</v>
      </c>
    </row>
    <row r="134" spans="1:19" x14ac:dyDescent="0.25">
      <c r="A134" t="s">
        <v>42</v>
      </c>
      <c r="B134" t="str">
        <f>"68378025"</f>
        <v>68378025</v>
      </c>
      <c r="C134" t="s">
        <v>171</v>
      </c>
      <c r="D134">
        <v>398</v>
      </c>
      <c r="E134">
        <v>6261.2536228626996</v>
      </c>
      <c r="F134">
        <v>4827.4989867224003</v>
      </c>
      <c r="G134">
        <v>0</v>
      </c>
      <c r="H134">
        <v>0</v>
      </c>
      <c r="I134">
        <v>0</v>
      </c>
      <c r="J134">
        <v>3</v>
      </c>
      <c r="K134">
        <v>0.5</v>
      </c>
      <c r="L134">
        <v>1036.6600000000001</v>
      </c>
      <c r="M134">
        <v>1008.93</v>
      </c>
      <c r="N134">
        <v>0</v>
      </c>
      <c r="O134">
        <v>0</v>
      </c>
      <c r="P134">
        <v>66.889116466700003</v>
      </c>
      <c r="Q134">
        <v>66.889116466700003</v>
      </c>
      <c r="R134">
        <v>500.04199999999997</v>
      </c>
      <c r="S134">
        <f t="shared" si="2"/>
        <v>6403.3601031891012</v>
      </c>
    </row>
    <row r="135" spans="1:19" x14ac:dyDescent="0.25">
      <c r="A135" t="s">
        <v>27</v>
      </c>
      <c r="B135" t="str">
        <f>"00566047"</f>
        <v>00566047</v>
      </c>
      <c r="C135" t="s">
        <v>172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P135">
        <v>0</v>
      </c>
      <c r="Q135">
        <v>0</v>
      </c>
      <c r="R135">
        <v>0</v>
      </c>
      <c r="S135">
        <f t="shared" si="2"/>
        <v>0</v>
      </c>
    </row>
    <row r="136" spans="1:19" x14ac:dyDescent="0.25">
      <c r="A136" t="s">
        <v>36</v>
      </c>
      <c r="B136" t="str">
        <f>"70565813"</f>
        <v>70565813</v>
      </c>
      <c r="C136" t="s">
        <v>173</v>
      </c>
      <c r="D136">
        <v>23</v>
      </c>
      <c r="E136">
        <v>276.71145345177001</v>
      </c>
      <c r="F136">
        <v>280.86602083668998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196.828</v>
      </c>
      <c r="M136">
        <v>177.14500000000001</v>
      </c>
      <c r="N136">
        <v>0</v>
      </c>
      <c r="O136">
        <v>0</v>
      </c>
      <c r="P136">
        <v>572.09620774530003</v>
      </c>
      <c r="Q136">
        <v>572.09620774530003</v>
      </c>
      <c r="R136">
        <v>2460.27</v>
      </c>
      <c r="S136">
        <f t="shared" si="2"/>
        <v>3490.37722858199</v>
      </c>
    </row>
    <row r="137" spans="1:19" x14ac:dyDescent="0.25">
      <c r="A137" t="s">
        <v>36</v>
      </c>
      <c r="B137" t="str">
        <f>"86652052"</f>
        <v>86652052</v>
      </c>
      <c r="C137" t="s">
        <v>174</v>
      </c>
      <c r="D137">
        <v>90</v>
      </c>
      <c r="E137">
        <v>1417.606766787</v>
      </c>
      <c r="F137">
        <v>1367.8669844935</v>
      </c>
      <c r="G137">
        <v>0</v>
      </c>
      <c r="H137">
        <v>0</v>
      </c>
      <c r="I137">
        <v>0</v>
      </c>
      <c r="J137">
        <v>1.88</v>
      </c>
      <c r="K137">
        <v>0</v>
      </c>
      <c r="L137">
        <v>315.57299999999998</v>
      </c>
      <c r="M137">
        <v>284.01600000000002</v>
      </c>
      <c r="N137">
        <v>0</v>
      </c>
      <c r="O137">
        <v>0</v>
      </c>
      <c r="P137">
        <v>776.8798104663</v>
      </c>
      <c r="Q137">
        <v>776.8798104663</v>
      </c>
      <c r="R137">
        <v>3425.76</v>
      </c>
      <c r="S137">
        <f t="shared" si="2"/>
        <v>5854.5227949598002</v>
      </c>
    </row>
    <row r="138" spans="1:19" x14ac:dyDescent="0.25">
      <c r="A138" t="s">
        <v>65</v>
      </c>
      <c r="B138" t="str">
        <f>"75010330"</f>
        <v>75010330</v>
      </c>
      <c r="C138" t="s">
        <v>175</v>
      </c>
      <c r="D138">
        <v>403</v>
      </c>
      <c r="E138">
        <v>4864.3622570416001</v>
      </c>
      <c r="F138">
        <v>4442.4826057131004</v>
      </c>
      <c r="G138">
        <v>0</v>
      </c>
      <c r="H138">
        <v>0</v>
      </c>
      <c r="I138">
        <v>0</v>
      </c>
      <c r="J138">
        <v>2</v>
      </c>
      <c r="K138">
        <v>0</v>
      </c>
      <c r="L138">
        <v>664.99599999999998</v>
      </c>
      <c r="M138">
        <v>598.49599999999998</v>
      </c>
      <c r="N138">
        <v>0</v>
      </c>
      <c r="O138">
        <v>0</v>
      </c>
      <c r="P138">
        <v>458.64722590759999</v>
      </c>
      <c r="Q138">
        <v>458.64722590759999</v>
      </c>
      <c r="R138">
        <v>1575.74</v>
      </c>
      <c r="S138">
        <f t="shared" si="2"/>
        <v>7075.3658316207002</v>
      </c>
    </row>
    <row r="139" spans="1:19" x14ac:dyDescent="0.25">
      <c r="A139" t="s">
        <v>42</v>
      </c>
      <c r="B139" t="str">
        <f>"60457856"</f>
        <v>60457856</v>
      </c>
      <c r="C139" t="s">
        <v>176</v>
      </c>
      <c r="D139">
        <v>3</v>
      </c>
      <c r="E139">
        <v>94.26</v>
      </c>
      <c r="F139">
        <v>47.433460049714</v>
      </c>
      <c r="G139">
        <v>0</v>
      </c>
      <c r="H139">
        <v>0</v>
      </c>
      <c r="I139">
        <v>0</v>
      </c>
      <c r="J139">
        <v>6</v>
      </c>
      <c r="K139">
        <v>0</v>
      </c>
      <c r="L139">
        <v>0</v>
      </c>
      <c r="M139">
        <v>0</v>
      </c>
      <c r="N139">
        <v>0</v>
      </c>
      <c r="P139">
        <v>0</v>
      </c>
      <c r="Q139">
        <v>0</v>
      </c>
      <c r="R139">
        <v>0</v>
      </c>
      <c r="S139">
        <f t="shared" si="2"/>
        <v>47.433460049714</v>
      </c>
    </row>
    <row r="140" spans="1:19" x14ac:dyDescent="0.25">
      <c r="A140" t="s">
        <v>63</v>
      </c>
      <c r="B140" t="str">
        <f>"25797000"</f>
        <v>25797000</v>
      </c>
      <c r="C140" t="s">
        <v>177</v>
      </c>
      <c r="D140">
        <v>40</v>
      </c>
      <c r="E140">
        <v>523.79939355523004</v>
      </c>
      <c r="F140">
        <v>530.84457248643002</v>
      </c>
      <c r="G140">
        <v>0</v>
      </c>
      <c r="H140">
        <v>0</v>
      </c>
      <c r="I140">
        <v>0</v>
      </c>
      <c r="J140">
        <v>1</v>
      </c>
      <c r="K140">
        <v>0</v>
      </c>
      <c r="L140">
        <v>206.768</v>
      </c>
      <c r="M140">
        <v>186.09100000000001</v>
      </c>
      <c r="N140">
        <v>0</v>
      </c>
      <c r="O140">
        <v>0</v>
      </c>
      <c r="P140">
        <v>401.69172077180002</v>
      </c>
      <c r="Q140">
        <v>401.69172077180002</v>
      </c>
      <c r="R140">
        <v>1846.72</v>
      </c>
      <c r="S140">
        <f t="shared" si="2"/>
        <v>2965.3472932582299</v>
      </c>
    </row>
    <row r="141" spans="1:19" x14ac:dyDescent="0.25">
      <c r="A141" t="s">
        <v>63</v>
      </c>
      <c r="B141" t="str">
        <f>"25794787"</f>
        <v>25794787</v>
      </c>
      <c r="C141" t="s">
        <v>178</v>
      </c>
      <c r="D141">
        <v>36</v>
      </c>
      <c r="E141">
        <v>379.57062358189</v>
      </c>
      <c r="F141">
        <v>379.4433880446</v>
      </c>
      <c r="G141">
        <v>0</v>
      </c>
      <c r="H141">
        <v>0</v>
      </c>
      <c r="I141">
        <v>0</v>
      </c>
      <c r="J141">
        <v>1</v>
      </c>
      <c r="K141">
        <v>0</v>
      </c>
      <c r="L141">
        <v>189.946</v>
      </c>
      <c r="M141">
        <v>170.95099999999999</v>
      </c>
      <c r="N141">
        <v>0</v>
      </c>
      <c r="O141">
        <v>0</v>
      </c>
      <c r="P141">
        <v>10.563650104500001</v>
      </c>
      <c r="Q141">
        <v>10.563650104500001</v>
      </c>
      <c r="R141">
        <v>425.25</v>
      </c>
      <c r="S141">
        <f t="shared" si="2"/>
        <v>986.20803814909993</v>
      </c>
    </row>
    <row r="142" spans="1:19" x14ac:dyDescent="0.25">
      <c r="A142" t="s">
        <v>27</v>
      </c>
      <c r="B142" t="str">
        <f>"29142890"</f>
        <v>29142890</v>
      </c>
      <c r="C142" t="s">
        <v>179</v>
      </c>
      <c r="D142">
        <v>77</v>
      </c>
      <c r="E142">
        <v>667.10933843309999</v>
      </c>
      <c r="F142">
        <v>375.98957635454002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15.090299999999999</v>
      </c>
      <c r="M142">
        <v>13.581300000000001</v>
      </c>
      <c r="N142">
        <v>0</v>
      </c>
      <c r="P142">
        <v>0</v>
      </c>
      <c r="Q142">
        <v>0</v>
      </c>
      <c r="R142">
        <v>1.4111199999999999</v>
      </c>
      <c r="S142">
        <f t="shared" si="2"/>
        <v>390.98199635454</v>
      </c>
    </row>
    <row r="143" spans="1:19" x14ac:dyDescent="0.25">
      <c r="A143" t="s">
        <v>27</v>
      </c>
      <c r="B143" t="str">
        <f>"46747885"</f>
        <v>46747885</v>
      </c>
      <c r="C143" t="s">
        <v>180</v>
      </c>
      <c r="D143">
        <v>2199</v>
      </c>
      <c r="E143">
        <v>30311.116061154</v>
      </c>
      <c r="F143">
        <v>24408.903637086001</v>
      </c>
      <c r="G143">
        <v>0</v>
      </c>
      <c r="H143">
        <v>0</v>
      </c>
      <c r="I143">
        <v>0</v>
      </c>
      <c r="J143">
        <v>9</v>
      </c>
      <c r="K143">
        <v>1.75</v>
      </c>
      <c r="L143">
        <v>3237.02</v>
      </c>
      <c r="M143">
        <v>3189.94</v>
      </c>
      <c r="N143">
        <v>1270</v>
      </c>
      <c r="O143">
        <v>775.02380967140004</v>
      </c>
      <c r="P143">
        <v>2389.7160670727999</v>
      </c>
      <c r="Q143">
        <v>3164.7398767442</v>
      </c>
      <c r="R143">
        <v>15794</v>
      </c>
      <c r="S143">
        <f t="shared" si="2"/>
        <v>46557.583513830199</v>
      </c>
    </row>
    <row r="144" spans="1:19" x14ac:dyDescent="0.25">
      <c r="A144" t="s">
        <v>101</v>
      </c>
      <c r="B144" t="str">
        <f>"00101435"</f>
        <v>00101435</v>
      </c>
      <c r="C144" t="s">
        <v>181</v>
      </c>
      <c r="D144">
        <v>48</v>
      </c>
      <c r="E144">
        <v>405.89641310479999</v>
      </c>
      <c r="F144">
        <v>296.13178225931</v>
      </c>
      <c r="G144">
        <v>0</v>
      </c>
      <c r="H144">
        <v>0</v>
      </c>
      <c r="I144">
        <v>0</v>
      </c>
      <c r="J144">
        <v>1</v>
      </c>
      <c r="K144">
        <v>0</v>
      </c>
      <c r="L144">
        <v>10.3995</v>
      </c>
      <c r="M144">
        <v>9.3595500000000005</v>
      </c>
      <c r="N144">
        <v>0</v>
      </c>
      <c r="O144">
        <v>0</v>
      </c>
      <c r="P144">
        <v>61.449781721000001</v>
      </c>
      <c r="Q144">
        <v>61.449781721000001</v>
      </c>
      <c r="R144">
        <v>88.571200000000005</v>
      </c>
      <c r="S144">
        <f t="shared" si="2"/>
        <v>455.51231398031007</v>
      </c>
    </row>
    <row r="145" spans="1:19" x14ac:dyDescent="0.25">
      <c r="A145" t="s">
        <v>27</v>
      </c>
      <c r="B145" t="str">
        <f>"60456540"</f>
        <v>60456540</v>
      </c>
      <c r="C145" t="s">
        <v>182</v>
      </c>
      <c r="D145">
        <v>43</v>
      </c>
      <c r="E145">
        <v>358.48682021254001</v>
      </c>
      <c r="F145">
        <v>318.40454694584002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141.316</v>
      </c>
      <c r="M145">
        <v>127.184</v>
      </c>
      <c r="N145">
        <v>0</v>
      </c>
      <c r="O145">
        <v>0</v>
      </c>
      <c r="P145">
        <v>126.826805131</v>
      </c>
      <c r="Q145">
        <v>126.826805131</v>
      </c>
      <c r="R145">
        <v>275.27699999999999</v>
      </c>
      <c r="S145">
        <f t="shared" si="2"/>
        <v>847.69235207684005</v>
      </c>
    </row>
    <row r="146" spans="1:19" x14ac:dyDescent="0.25">
      <c r="A146" t="s">
        <v>27</v>
      </c>
      <c r="B146" t="str">
        <f>"00013251"</f>
        <v>00013251</v>
      </c>
      <c r="C146" t="s">
        <v>183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P146">
        <v>0</v>
      </c>
      <c r="Q146">
        <v>0</v>
      </c>
      <c r="R146">
        <v>0</v>
      </c>
      <c r="S146">
        <f t="shared" si="2"/>
        <v>0</v>
      </c>
    </row>
    <row r="147" spans="1:19" x14ac:dyDescent="0.25">
      <c r="A147" t="s">
        <v>27</v>
      </c>
      <c r="B147" t="str">
        <f>"28622201"</f>
        <v>28622201</v>
      </c>
      <c r="C147" t="s">
        <v>184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P147">
        <v>0</v>
      </c>
      <c r="Q147">
        <v>0</v>
      </c>
      <c r="R147">
        <v>0</v>
      </c>
      <c r="S147">
        <f t="shared" si="2"/>
        <v>0</v>
      </c>
    </row>
    <row r="148" spans="1:19" x14ac:dyDescent="0.25">
      <c r="A148" t="s">
        <v>65</v>
      </c>
      <c r="B148" t="str">
        <f>"00064190"</f>
        <v>00064190</v>
      </c>
      <c r="C148" t="s">
        <v>185</v>
      </c>
      <c r="D148">
        <v>321</v>
      </c>
      <c r="E148">
        <v>3358.3330256363001</v>
      </c>
      <c r="F148">
        <v>2910.3522718344998</v>
      </c>
      <c r="G148">
        <v>0</v>
      </c>
      <c r="H148">
        <v>0</v>
      </c>
      <c r="I148">
        <v>0</v>
      </c>
      <c r="J148">
        <v>1</v>
      </c>
      <c r="K148">
        <v>0</v>
      </c>
      <c r="L148">
        <v>181.364</v>
      </c>
      <c r="M148">
        <v>163.22800000000001</v>
      </c>
      <c r="N148">
        <v>0</v>
      </c>
      <c r="O148">
        <v>0</v>
      </c>
      <c r="P148">
        <v>224.3988098733</v>
      </c>
      <c r="Q148">
        <v>224.3988098733</v>
      </c>
      <c r="R148">
        <v>631.38199999999995</v>
      </c>
      <c r="S148">
        <f t="shared" si="2"/>
        <v>3929.3610817077997</v>
      </c>
    </row>
    <row r="149" spans="1:19" x14ac:dyDescent="0.25">
      <c r="B149" t="str">
        <f>"29278872"</f>
        <v>29278872</v>
      </c>
      <c r="C149" t="s">
        <v>186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P149">
        <v>0</v>
      </c>
      <c r="Q149">
        <v>0</v>
      </c>
      <c r="R149">
        <v>0</v>
      </c>
      <c r="S149">
        <f t="shared" si="2"/>
        <v>0</v>
      </c>
    </row>
    <row r="150" spans="1:19" x14ac:dyDescent="0.25">
      <c r="A150" t="s">
        <v>101</v>
      </c>
      <c r="B150" t="str">
        <f>"00023442"</f>
        <v>00023442</v>
      </c>
      <c r="C150" t="s">
        <v>187</v>
      </c>
      <c r="D150">
        <v>97</v>
      </c>
      <c r="E150">
        <v>2054.8592598552</v>
      </c>
      <c r="F150">
        <v>1694.6285073944</v>
      </c>
      <c r="G150">
        <v>0</v>
      </c>
      <c r="H150">
        <v>0</v>
      </c>
      <c r="I150">
        <v>0</v>
      </c>
      <c r="J150">
        <v>1</v>
      </c>
      <c r="K150">
        <v>0</v>
      </c>
      <c r="L150">
        <v>165.43100000000001</v>
      </c>
      <c r="M150">
        <v>148.88800000000001</v>
      </c>
      <c r="N150">
        <v>0</v>
      </c>
      <c r="O150">
        <v>0</v>
      </c>
      <c r="P150">
        <v>55.485414663999997</v>
      </c>
      <c r="Q150">
        <v>55.485414663999997</v>
      </c>
      <c r="R150">
        <v>114.92100000000001</v>
      </c>
      <c r="S150">
        <f t="shared" si="2"/>
        <v>2013.9229220584</v>
      </c>
    </row>
    <row r="151" spans="1:19" x14ac:dyDescent="0.25">
      <c r="A151" t="s">
        <v>63</v>
      </c>
      <c r="B151" t="str">
        <f>"62243136"</f>
        <v>62243136</v>
      </c>
      <c r="C151" t="s">
        <v>188</v>
      </c>
      <c r="D151">
        <v>71</v>
      </c>
      <c r="E151">
        <v>2158.0766663721001</v>
      </c>
      <c r="F151">
        <v>2255.8791097081998</v>
      </c>
      <c r="G151">
        <v>0</v>
      </c>
      <c r="H151">
        <v>0</v>
      </c>
      <c r="I151">
        <v>0</v>
      </c>
      <c r="J151">
        <v>1.5</v>
      </c>
      <c r="K151">
        <v>1.5</v>
      </c>
      <c r="L151">
        <v>554.73599999999999</v>
      </c>
      <c r="M151">
        <v>743.06100000000004</v>
      </c>
      <c r="N151">
        <v>40</v>
      </c>
      <c r="O151">
        <v>35.454545497894003</v>
      </c>
      <c r="P151">
        <v>707.91156604670005</v>
      </c>
      <c r="Q151">
        <v>743.36611154460002</v>
      </c>
      <c r="R151">
        <v>3483.74</v>
      </c>
      <c r="S151">
        <f t="shared" si="2"/>
        <v>7226.0462212528</v>
      </c>
    </row>
    <row r="152" spans="1:19" x14ac:dyDescent="0.25">
      <c r="A152" t="s">
        <v>27</v>
      </c>
      <c r="B152" t="str">
        <f>"62690094"</f>
        <v>62690094</v>
      </c>
      <c r="C152" t="s">
        <v>189</v>
      </c>
      <c r="D152">
        <v>2549</v>
      </c>
      <c r="E152">
        <v>29437.62108184</v>
      </c>
      <c r="F152">
        <v>20417.796700002</v>
      </c>
      <c r="G152">
        <v>0</v>
      </c>
      <c r="H152">
        <v>0</v>
      </c>
      <c r="I152">
        <v>0</v>
      </c>
      <c r="J152">
        <v>5</v>
      </c>
      <c r="K152">
        <v>0.5</v>
      </c>
      <c r="L152">
        <v>1573.85</v>
      </c>
      <c r="M152">
        <v>1485.63</v>
      </c>
      <c r="N152">
        <v>20</v>
      </c>
      <c r="O152">
        <v>10.317460775375</v>
      </c>
      <c r="P152">
        <v>16.738030085999998</v>
      </c>
      <c r="Q152">
        <v>27.055490861300001</v>
      </c>
      <c r="R152">
        <v>142.22800000000001</v>
      </c>
      <c r="S152">
        <f t="shared" si="2"/>
        <v>22072.710190863301</v>
      </c>
    </row>
    <row r="153" spans="1:19" x14ac:dyDescent="0.25">
      <c r="A153" t="s">
        <v>27</v>
      </c>
      <c r="B153" t="str">
        <f>"46358978"</f>
        <v>46358978</v>
      </c>
      <c r="C153" t="s">
        <v>190</v>
      </c>
      <c r="D153">
        <v>28</v>
      </c>
      <c r="E153">
        <v>416.91266087823999</v>
      </c>
      <c r="F153">
        <v>373.69782659010002</v>
      </c>
      <c r="G153">
        <v>0</v>
      </c>
      <c r="H153">
        <v>0</v>
      </c>
      <c r="I153">
        <v>0</v>
      </c>
      <c r="J153">
        <v>1</v>
      </c>
      <c r="K153">
        <v>0</v>
      </c>
      <c r="L153">
        <v>28.5792</v>
      </c>
      <c r="M153">
        <v>25.721299999999999</v>
      </c>
      <c r="N153">
        <v>0</v>
      </c>
      <c r="P153">
        <v>0</v>
      </c>
      <c r="Q153">
        <v>0</v>
      </c>
      <c r="R153">
        <v>0</v>
      </c>
      <c r="S153">
        <f t="shared" si="2"/>
        <v>399.41912659010001</v>
      </c>
    </row>
    <row r="154" spans="1:19" x14ac:dyDescent="0.25">
      <c r="A154" t="s">
        <v>27</v>
      </c>
      <c r="B154" t="str">
        <f>"44555601"</f>
        <v>44555601</v>
      </c>
      <c r="C154" t="s">
        <v>191</v>
      </c>
      <c r="D154">
        <v>1660</v>
      </c>
      <c r="E154">
        <v>19825.796974355999</v>
      </c>
      <c r="F154">
        <v>17350.730504977</v>
      </c>
      <c r="G154">
        <v>0</v>
      </c>
      <c r="H154">
        <v>0</v>
      </c>
      <c r="I154">
        <v>0</v>
      </c>
      <c r="J154">
        <v>5</v>
      </c>
      <c r="K154">
        <v>1.63</v>
      </c>
      <c r="L154">
        <v>1695.74</v>
      </c>
      <c r="M154">
        <v>1769.12</v>
      </c>
      <c r="N154">
        <v>10</v>
      </c>
      <c r="O154">
        <v>7.5</v>
      </c>
      <c r="P154">
        <v>329.48927731409998</v>
      </c>
      <c r="Q154">
        <v>336.98927731409998</v>
      </c>
      <c r="R154">
        <v>2132.29</v>
      </c>
      <c r="S154">
        <f t="shared" si="2"/>
        <v>21589.1297822911</v>
      </c>
    </row>
    <row r="155" spans="1:19" x14ac:dyDescent="0.25">
      <c r="A155" t="s">
        <v>27</v>
      </c>
      <c r="B155" t="str">
        <f>"00216208"</f>
        <v>00216208</v>
      </c>
      <c r="C155" t="s">
        <v>192</v>
      </c>
      <c r="D155">
        <v>30718</v>
      </c>
      <c r="E155">
        <v>472712.3744032</v>
      </c>
      <c r="F155">
        <v>456053.66130504</v>
      </c>
      <c r="G155">
        <v>2</v>
      </c>
      <c r="H155">
        <v>2</v>
      </c>
      <c r="I155">
        <v>4000</v>
      </c>
      <c r="J155">
        <v>135.4</v>
      </c>
      <c r="K155">
        <v>31.5</v>
      </c>
      <c r="L155">
        <v>65427.5</v>
      </c>
      <c r="M155">
        <v>65574.3</v>
      </c>
      <c r="N155">
        <v>100</v>
      </c>
      <c r="O155">
        <v>69.761904239654996</v>
      </c>
      <c r="P155">
        <v>5526.2800964024</v>
      </c>
      <c r="Q155">
        <v>5596.0420006421</v>
      </c>
      <c r="R155">
        <v>21961.599999999999</v>
      </c>
      <c r="S155">
        <f t="shared" si="2"/>
        <v>553185.60330568207</v>
      </c>
    </row>
    <row r="156" spans="1:19" x14ac:dyDescent="0.25">
      <c r="A156" t="s">
        <v>27</v>
      </c>
      <c r="B156" t="str">
        <f>"61989592"</f>
        <v>61989592</v>
      </c>
      <c r="C156" t="s">
        <v>193</v>
      </c>
      <c r="D156">
        <v>9885</v>
      </c>
      <c r="E156">
        <v>173278.98948225999</v>
      </c>
      <c r="F156">
        <v>165147.74504764</v>
      </c>
      <c r="G156">
        <v>0</v>
      </c>
      <c r="H156">
        <v>0</v>
      </c>
      <c r="I156">
        <v>0</v>
      </c>
      <c r="J156">
        <v>40.75</v>
      </c>
      <c r="K156">
        <v>11.57</v>
      </c>
      <c r="L156">
        <v>18535</v>
      </c>
      <c r="M156">
        <v>18994.3</v>
      </c>
      <c r="N156">
        <v>820</v>
      </c>
      <c r="O156">
        <v>665.15641403198003</v>
      </c>
      <c r="P156">
        <v>2339.5439793996002</v>
      </c>
      <c r="Q156">
        <v>3004.7003934315999</v>
      </c>
      <c r="R156">
        <v>13566</v>
      </c>
      <c r="S156">
        <f t="shared" si="2"/>
        <v>200712.74544107157</v>
      </c>
    </row>
    <row r="157" spans="1:19" x14ac:dyDescent="0.25">
      <c r="A157" t="s">
        <v>27</v>
      </c>
      <c r="B157" t="str">
        <f>"00216275"</f>
        <v>00216275</v>
      </c>
      <c r="C157" t="s">
        <v>194</v>
      </c>
      <c r="D157">
        <v>2897</v>
      </c>
      <c r="E157">
        <v>54977.002669519999</v>
      </c>
      <c r="F157">
        <v>54161.637836055001</v>
      </c>
      <c r="G157">
        <v>1</v>
      </c>
      <c r="H157">
        <v>1</v>
      </c>
      <c r="I157">
        <v>2000</v>
      </c>
      <c r="J157">
        <v>16.47</v>
      </c>
      <c r="K157">
        <v>1.71</v>
      </c>
      <c r="L157">
        <v>6118.61</v>
      </c>
      <c r="M157">
        <v>5785.94</v>
      </c>
      <c r="N157">
        <v>140</v>
      </c>
      <c r="O157">
        <v>108.9393928051</v>
      </c>
      <c r="P157">
        <v>835.95644614000003</v>
      </c>
      <c r="Q157">
        <v>944.89583894520001</v>
      </c>
      <c r="R157">
        <v>4796.07</v>
      </c>
      <c r="S157">
        <f t="shared" si="2"/>
        <v>67688.543675000197</v>
      </c>
    </row>
    <row r="158" spans="1:19" x14ac:dyDescent="0.25">
      <c r="A158" t="s">
        <v>27</v>
      </c>
      <c r="B158" t="str">
        <f>"70883521"</f>
        <v>70883521</v>
      </c>
      <c r="C158" t="s">
        <v>195</v>
      </c>
      <c r="D158">
        <v>2985</v>
      </c>
      <c r="E158">
        <v>38899.85319152</v>
      </c>
      <c r="F158">
        <v>34130.983994399998</v>
      </c>
      <c r="G158">
        <v>0</v>
      </c>
      <c r="H158">
        <v>0</v>
      </c>
      <c r="I158">
        <v>0</v>
      </c>
      <c r="J158">
        <v>10</v>
      </c>
      <c r="K158">
        <v>0</v>
      </c>
      <c r="L158">
        <v>3755.96</v>
      </c>
      <c r="M158">
        <v>3380.36</v>
      </c>
      <c r="N158">
        <v>140</v>
      </c>
      <c r="O158">
        <v>117.93650436401001</v>
      </c>
      <c r="P158">
        <v>541.28731171499999</v>
      </c>
      <c r="Q158">
        <v>659.22381607900002</v>
      </c>
      <c r="R158">
        <v>5687.18</v>
      </c>
      <c r="S158">
        <f t="shared" si="2"/>
        <v>43857.747810478999</v>
      </c>
    </row>
    <row r="159" spans="1:19" x14ac:dyDescent="0.25">
      <c r="A159" t="s">
        <v>42</v>
      </c>
      <c r="B159" t="str">
        <f>"68081715"</f>
        <v>68081715</v>
      </c>
      <c r="C159" t="s">
        <v>196</v>
      </c>
      <c r="D159">
        <v>213</v>
      </c>
      <c r="E159">
        <v>10796.388625297001</v>
      </c>
      <c r="F159">
        <v>12500.048835318001</v>
      </c>
      <c r="G159">
        <v>0</v>
      </c>
      <c r="H159">
        <v>0</v>
      </c>
      <c r="I159">
        <v>0</v>
      </c>
      <c r="J159">
        <v>3.75</v>
      </c>
      <c r="K159">
        <v>1</v>
      </c>
      <c r="L159">
        <v>1188.75</v>
      </c>
      <c r="M159">
        <v>1209.19</v>
      </c>
      <c r="N159">
        <v>0</v>
      </c>
      <c r="O159">
        <v>0</v>
      </c>
      <c r="P159">
        <v>107.1065915165</v>
      </c>
      <c r="Q159">
        <v>107.1065915165</v>
      </c>
      <c r="R159">
        <v>527.42899999999997</v>
      </c>
      <c r="S159">
        <f t="shared" si="2"/>
        <v>14343.774426834501</v>
      </c>
    </row>
    <row r="160" spans="1:19" x14ac:dyDescent="0.25">
      <c r="A160" t="s">
        <v>42</v>
      </c>
      <c r="B160" t="str">
        <f>"61388980"</f>
        <v>61388980</v>
      </c>
      <c r="C160" t="s">
        <v>197</v>
      </c>
      <c r="D160">
        <v>375</v>
      </c>
      <c r="E160">
        <v>8407.6479911077004</v>
      </c>
      <c r="F160">
        <v>9761.6404177055992</v>
      </c>
      <c r="G160">
        <v>0</v>
      </c>
      <c r="H160">
        <v>0</v>
      </c>
      <c r="I160">
        <v>0</v>
      </c>
      <c r="J160">
        <v>3</v>
      </c>
      <c r="K160">
        <v>0.57999999999999996</v>
      </c>
      <c r="L160">
        <v>1507.77</v>
      </c>
      <c r="M160">
        <v>1485.1</v>
      </c>
      <c r="N160">
        <v>0</v>
      </c>
      <c r="O160">
        <v>0</v>
      </c>
      <c r="P160">
        <v>139.5535883583</v>
      </c>
      <c r="Q160">
        <v>139.5535883583</v>
      </c>
      <c r="R160">
        <v>789.553</v>
      </c>
      <c r="S160">
        <f t="shared" si="2"/>
        <v>12175.847006063899</v>
      </c>
    </row>
    <row r="161" spans="1:19" x14ac:dyDescent="0.25">
      <c r="A161" t="s">
        <v>198</v>
      </c>
      <c r="B161" t="str">
        <f>"48511005"</f>
        <v>48511005</v>
      </c>
      <c r="C161" t="s">
        <v>199</v>
      </c>
      <c r="D161">
        <v>55</v>
      </c>
      <c r="E161">
        <v>408.67080964004998</v>
      </c>
      <c r="F161">
        <v>334.48514272980998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24.449000000000002</v>
      </c>
      <c r="M161">
        <v>22.004100000000001</v>
      </c>
      <c r="N161">
        <v>0</v>
      </c>
      <c r="P161">
        <v>0</v>
      </c>
      <c r="Q161">
        <v>0</v>
      </c>
      <c r="R161">
        <v>0</v>
      </c>
      <c r="S161">
        <f t="shared" si="2"/>
        <v>356.48924272980997</v>
      </c>
    </row>
    <row r="162" spans="1:19" x14ac:dyDescent="0.25">
      <c r="A162" t="s">
        <v>200</v>
      </c>
      <c r="B162" t="str">
        <f>"47325011"</f>
        <v>47325011</v>
      </c>
      <c r="C162" t="s">
        <v>201</v>
      </c>
      <c r="D162">
        <v>22</v>
      </c>
      <c r="E162">
        <v>103.77779246135</v>
      </c>
      <c r="F162">
        <v>88.398591433316994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8.7858000000000001</v>
      </c>
      <c r="M162">
        <v>7.9072199999999997</v>
      </c>
      <c r="N162">
        <v>0</v>
      </c>
      <c r="P162">
        <v>0</v>
      </c>
      <c r="Q162">
        <v>0</v>
      </c>
      <c r="R162">
        <v>0</v>
      </c>
      <c r="S162">
        <f t="shared" si="2"/>
        <v>96.30581143331699</v>
      </c>
    </row>
    <row r="163" spans="1:19" x14ac:dyDescent="0.25">
      <c r="A163" t="s">
        <v>42</v>
      </c>
      <c r="B163" t="str">
        <f>"68081766"</f>
        <v>68081766</v>
      </c>
      <c r="C163" t="s">
        <v>202</v>
      </c>
      <c r="D163">
        <v>508</v>
      </c>
      <c r="E163">
        <v>10031.556888147001</v>
      </c>
      <c r="F163">
        <v>9562.1189897892</v>
      </c>
      <c r="G163">
        <v>0</v>
      </c>
      <c r="H163">
        <v>0</v>
      </c>
      <c r="I163">
        <v>0</v>
      </c>
      <c r="J163">
        <v>2.8</v>
      </c>
      <c r="K163">
        <v>0</v>
      </c>
      <c r="L163">
        <v>1044.6199999999999</v>
      </c>
      <c r="M163">
        <v>940.15800000000002</v>
      </c>
      <c r="N163">
        <v>0</v>
      </c>
      <c r="O163">
        <v>0</v>
      </c>
      <c r="P163">
        <v>11.823727651700001</v>
      </c>
      <c r="Q163">
        <v>11.823727651700001</v>
      </c>
      <c r="R163">
        <v>121.75</v>
      </c>
      <c r="S163">
        <f t="shared" si="2"/>
        <v>10635.850717440899</v>
      </c>
    </row>
    <row r="164" spans="1:19" x14ac:dyDescent="0.25">
      <c r="A164" t="s">
        <v>42</v>
      </c>
      <c r="B164" t="str">
        <f>"68378033"</f>
        <v>68378033</v>
      </c>
      <c r="C164" t="s">
        <v>203</v>
      </c>
      <c r="D164">
        <v>560</v>
      </c>
      <c r="E164">
        <v>3425.2426986026999</v>
      </c>
      <c r="F164">
        <v>3022.4814156654002</v>
      </c>
      <c r="G164">
        <v>0</v>
      </c>
      <c r="H164">
        <v>0</v>
      </c>
      <c r="I164">
        <v>0</v>
      </c>
      <c r="J164">
        <v>3</v>
      </c>
      <c r="K164">
        <v>0.45</v>
      </c>
      <c r="L164">
        <v>457.78800000000001</v>
      </c>
      <c r="M164">
        <v>442.18799999999999</v>
      </c>
      <c r="N164">
        <v>0</v>
      </c>
      <c r="O164">
        <v>0</v>
      </c>
      <c r="P164">
        <v>48.680995908900002</v>
      </c>
      <c r="Q164">
        <v>48.680995908900002</v>
      </c>
      <c r="R164">
        <v>156.714</v>
      </c>
      <c r="S164">
        <f t="shared" si="2"/>
        <v>3670.0644115743003</v>
      </c>
    </row>
    <row r="165" spans="1:19" x14ac:dyDescent="0.25">
      <c r="A165" t="s">
        <v>42</v>
      </c>
      <c r="B165" t="str">
        <f>"61389030"</f>
        <v>61389030</v>
      </c>
      <c r="C165" t="s">
        <v>204</v>
      </c>
      <c r="D165">
        <v>633</v>
      </c>
      <c r="E165">
        <v>18477.111789109</v>
      </c>
      <c r="F165">
        <v>17616.283718120001</v>
      </c>
      <c r="G165">
        <v>0</v>
      </c>
      <c r="H165">
        <v>0</v>
      </c>
      <c r="I165">
        <v>0</v>
      </c>
      <c r="J165">
        <v>7</v>
      </c>
      <c r="K165">
        <v>1.65</v>
      </c>
      <c r="L165">
        <v>2606.77</v>
      </c>
      <c r="M165">
        <v>2616.14</v>
      </c>
      <c r="N165">
        <v>275</v>
      </c>
      <c r="O165">
        <v>166.66666793823001</v>
      </c>
      <c r="P165">
        <v>58.089574928399998</v>
      </c>
      <c r="Q165">
        <v>224.75624286659999</v>
      </c>
      <c r="R165">
        <v>3052.62</v>
      </c>
      <c r="S165">
        <f t="shared" si="2"/>
        <v>23509.799960986598</v>
      </c>
    </row>
    <row r="166" spans="1:19" x14ac:dyDescent="0.25">
      <c r="A166" t="s">
        <v>42</v>
      </c>
      <c r="B166" t="str">
        <f>"68378041"</f>
        <v>68378041</v>
      </c>
      <c r="C166" t="s">
        <v>205</v>
      </c>
      <c r="D166">
        <v>391</v>
      </c>
      <c r="E166">
        <v>9287.2127223005009</v>
      </c>
      <c r="F166">
        <v>8716.0317346074007</v>
      </c>
      <c r="G166">
        <v>0</v>
      </c>
      <c r="H166">
        <v>0</v>
      </c>
      <c r="I166">
        <v>0</v>
      </c>
      <c r="J166">
        <v>5</v>
      </c>
      <c r="K166">
        <v>0</v>
      </c>
      <c r="L166">
        <v>1379.49</v>
      </c>
      <c r="M166">
        <v>1241.54</v>
      </c>
      <c r="N166">
        <v>210</v>
      </c>
      <c r="O166">
        <v>22.181818008423001</v>
      </c>
      <c r="P166">
        <v>272.76478639530001</v>
      </c>
      <c r="Q166">
        <v>294.94660440370001</v>
      </c>
      <c r="R166">
        <v>1023.54</v>
      </c>
      <c r="S166">
        <f t="shared" si="2"/>
        <v>11276.058339011102</v>
      </c>
    </row>
    <row r="167" spans="1:19" x14ac:dyDescent="0.25">
      <c r="A167" t="s">
        <v>42</v>
      </c>
      <c r="B167" t="str">
        <f>"67985882"</f>
        <v>67985882</v>
      </c>
      <c r="C167" t="s">
        <v>206</v>
      </c>
      <c r="D167">
        <v>336</v>
      </c>
      <c r="E167">
        <v>8577.3340375928001</v>
      </c>
      <c r="F167">
        <v>8137.9052574179004</v>
      </c>
      <c r="G167">
        <v>0</v>
      </c>
      <c r="H167">
        <v>0</v>
      </c>
      <c r="I167">
        <v>0</v>
      </c>
      <c r="J167">
        <v>6</v>
      </c>
      <c r="K167">
        <v>3.28</v>
      </c>
      <c r="L167">
        <v>2172.39</v>
      </c>
      <c r="M167">
        <v>2477.0700000000002</v>
      </c>
      <c r="N167">
        <v>0</v>
      </c>
      <c r="O167">
        <v>0</v>
      </c>
      <c r="P167">
        <v>144.78291017940001</v>
      </c>
      <c r="Q167">
        <v>144.78291017940001</v>
      </c>
      <c r="R167">
        <v>629.101</v>
      </c>
      <c r="S167">
        <f t="shared" si="2"/>
        <v>11388.8591675973</v>
      </c>
    </row>
    <row r="168" spans="1:19" x14ac:dyDescent="0.25">
      <c r="A168" t="s">
        <v>42</v>
      </c>
      <c r="B168" t="str">
        <f>"61388955"</f>
        <v>61388955</v>
      </c>
      <c r="C168" t="s">
        <v>207</v>
      </c>
      <c r="D168">
        <v>976</v>
      </c>
      <c r="E168">
        <v>34265.178688767999</v>
      </c>
      <c r="F168">
        <v>39534.269876168</v>
      </c>
      <c r="G168">
        <v>0</v>
      </c>
      <c r="H168">
        <v>0</v>
      </c>
      <c r="I168">
        <v>0</v>
      </c>
      <c r="J168">
        <v>8</v>
      </c>
      <c r="K168">
        <v>3.5</v>
      </c>
      <c r="L168">
        <v>6153.97</v>
      </c>
      <c r="M168">
        <v>6721.83</v>
      </c>
      <c r="N168">
        <v>120</v>
      </c>
      <c r="O168">
        <v>59.166666507720997</v>
      </c>
      <c r="P168">
        <v>201.10837654159999</v>
      </c>
      <c r="Q168">
        <v>260.2750430493</v>
      </c>
      <c r="R168">
        <v>695.23699999999997</v>
      </c>
      <c r="S168">
        <f t="shared" si="2"/>
        <v>47211.611919217306</v>
      </c>
    </row>
    <row r="169" spans="1:19" x14ac:dyDescent="0.25">
      <c r="A169" t="s">
        <v>42</v>
      </c>
      <c r="B169" t="str">
        <f>"68378289"</f>
        <v>68378289</v>
      </c>
      <c r="C169" t="s">
        <v>208</v>
      </c>
      <c r="D169">
        <v>271</v>
      </c>
      <c r="E169">
        <v>5282.3448091527998</v>
      </c>
      <c r="F169">
        <v>5943.2359431505001</v>
      </c>
      <c r="G169">
        <v>0</v>
      </c>
      <c r="H169">
        <v>0</v>
      </c>
      <c r="I169">
        <v>0</v>
      </c>
      <c r="J169">
        <v>4</v>
      </c>
      <c r="K169">
        <v>2.1</v>
      </c>
      <c r="L169">
        <v>1098.69</v>
      </c>
      <c r="M169">
        <v>1242.32</v>
      </c>
      <c r="N169">
        <v>0</v>
      </c>
      <c r="O169">
        <v>0</v>
      </c>
      <c r="P169">
        <v>36.836266964700002</v>
      </c>
      <c r="Q169">
        <v>36.836266964700002</v>
      </c>
      <c r="R169">
        <v>302.70999999999998</v>
      </c>
      <c r="S169">
        <f t="shared" si="2"/>
        <v>7525.1022101152003</v>
      </c>
    </row>
    <row r="170" spans="1:19" x14ac:dyDescent="0.25">
      <c r="A170" t="s">
        <v>42</v>
      </c>
      <c r="B170" t="str">
        <f>"68081723"</f>
        <v>68081723</v>
      </c>
      <c r="C170" t="s">
        <v>209</v>
      </c>
      <c r="D170">
        <v>608</v>
      </c>
      <c r="E170">
        <v>14101.500899713999</v>
      </c>
      <c r="F170">
        <v>14742.964656141001</v>
      </c>
      <c r="G170">
        <v>0</v>
      </c>
      <c r="H170">
        <v>0</v>
      </c>
      <c r="I170">
        <v>0</v>
      </c>
      <c r="J170">
        <v>6</v>
      </c>
      <c r="K170">
        <v>0</v>
      </c>
      <c r="L170">
        <v>1501.44</v>
      </c>
      <c r="M170">
        <v>1351.3</v>
      </c>
      <c r="N170">
        <v>0</v>
      </c>
      <c r="O170">
        <v>0</v>
      </c>
      <c r="P170">
        <v>160.26086271809999</v>
      </c>
      <c r="Q170">
        <v>160.26086271809999</v>
      </c>
      <c r="R170">
        <v>609.37300000000005</v>
      </c>
      <c r="S170">
        <f t="shared" si="2"/>
        <v>16863.8985188591</v>
      </c>
    </row>
    <row r="171" spans="1:19" x14ac:dyDescent="0.25">
      <c r="A171" t="s">
        <v>42</v>
      </c>
      <c r="B171" t="str">
        <f>"61389021"</f>
        <v>61389021</v>
      </c>
      <c r="C171" t="s">
        <v>210</v>
      </c>
      <c r="D171">
        <v>437</v>
      </c>
      <c r="E171">
        <v>7428.4754205010004</v>
      </c>
      <c r="F171">
        <v>8659.2463988256004</v>
      </c>
      <c r="G171">
        <v>0</v>
      </c>
      <c r="H171">
        <v>0</v>
      </c>
      <c r="I171">
        <v>0</v>
      </c>
      <c r="J171">
        <v>6</v>
      </c>
      <c r="K171">
        <v>0</v>
      </c>
      <c r="L171">
        <v>1115.8399999999999</v>
      </c>
      <c r="M171">
        <v>1004.26</v>
      </c>
      <c r="N171">
        <v>50</v>
      </c>
      <c r="O171">
        <v>30</v>
      </c>
      <c r="P171">
        <v>429.3084203491</v>
      </c>
      <c r="Q171">
        <v>459.3084203491</v>
      </c>
      <c r="R171">
        <v>1086.99</v>
      </c>
      <c r="S171">
        <f t="shared" si="2"/>
        <v>11209.8048191747</v>
      </c>
    </row>
    <row r="172" spans="1:19" x14ac:dyDescent="0.25">
      <c r="A172" t="s">
        <v>42</v>
      </c>
      <c r="B172" t="str">
        <f>"68145535"</f>
        <v>68145535</v>
      </c>
      <c r="C172" t="s">
        <v>211</v>
      </c>
      <c r="D172">
        <v>312</v>
      </c>
      <c r="E172">
        <v>5138.7452631377</v>
      </c>
      <c r="F172">
        <v>4463.4324036811004</v>
      </c>
      <c r="G172">
        <v>0</v>
      </c>
      <c r="H172">
        <v>0</v>
      </c>
      <c r="I172">
        <v>0</v>
      </c>
      <c r="J172">
        <v>4.5999999999999996</v>
      </c>
      <c r="K172">
        <v>0.9</v>
      </c>
      <c r="L172">
        <v>543.65700000000004</v>
      </c>
      <c r="M172">
        <v>536.03800000000001</v>
      </c>
      <c r="N172">
        <v>140</v>
      </c>
      <c r="O172">
        <v>93.809520721436002</v>
      </c>
      <c r="P172">
        <v>50.0040773335</v>
      </c>
      <c r="Q172">
        <v>143.81359805490001</v>
      </c>
      <c r="R172">
        <v>1225.9100000000001</v>
      </c>
      <c r="S172">
        <f t="shared" si="2"/>
        <v>6369.1940017359993</v>
      </c>
    </row>
    <row r="173" spans="1:19" x14ac:dyDescent="0.25">
      <c r="A173" t="s">
        <v>65</v>
      </c>
      <c r="B173" t="str">
        <f>"00023736"</f>
        <v>00023736</v>
      </c>
      <c r="C173" t="s">
        <v>212</v>
      </c>
      <c r="D173">
        <v>272</v>
      </c>
      <c r="E173">
        <v>5099.8267512889997</v>
      </c>
      <c r="F173">
        <v>4624.7384357700003</v>
      </c>
      <c r="G173">
        <v>0</v>
      </c>
      <c r="H173">
        <v>0</v>
      </c>
      <c r="I173">
        <v>0</v>
      </c>
      <c r="J173">
        <v>2</v>
      </c>
      <c r="K173">
        <v>0</v>
      </c>
      <c r="L173">
        <v>711.44500000000005</v>
      </c>
      <c r="M173">
        <v>640.29999999999995</v>
      </c>
      <c r="N173">
        <v>0</v>
      </c>
      <c r="O173">
        <v>0</v>
      </c>
      <c r="P173">
        <v>400.97767682829999</v>
      </c>
      <c r="Q173">
        <v>400.97767682829999</v>
      </c>
      <c r="R173">
        <v>1863.12</v>
      </c>
      <c r="S173">
        <f t="shared" si="2"/>
        <v>7529.1361125983003</v>
      </c>
    </row>
    <row r="174" spans="1:19" x14ac:dyDescent="0.25">
      <c r="A174" t="s">
        <v>42</v>
      </c>
      <c r="B174" t="str">
        <f>"67985858"</f>
        <v>67985858</v>
      </c>
      <c r="C174" t="s">
        <v>213</v>
      </c>
      <c r="D174">
        <v>501</v>
      </c>
      <c r="E174">
        <v>13366.897464780999</v>
      </c>
      <c r="F174">
        <v>15264.913973877001</v>
      </c>
      <c r="G174">
        <v>0</v>
      </c>
      <c r="H174">
        <v>0</v>
      </c>
      <c r="I174">
        <v>0</v>
      </c>
      <c r="J174">
        <v>7</v>
      </c>
      <c r="K174">
        <v>0.3</v>
      </c>
      <c r="L174">
        <v>2447.85</v>
      </c>
      <c r="M174">
        <v>2249.17</v>
      </c>
      <c r="N174">
        <v>80</v>
      </c>
      <c r="O174">
        <v>42.087912082671998</v>
      </c>
      <c r="P174">
        <v>667.40007290259996</v>
      </c>
      <c r="Q174">
        <v>709.48798498530005</v>
      </c>
      <c r="R174">
        <v>3049.26</v>
      </c>
      <c r="S174">
        <f t="shared" si="2"/>
        <v>21272.831958862298</v>
      </c>
    </row>
    <row r="175" spans="1:19" x14ac:dyDescent="0.25">
      <c r="A175" t="s">
        <v>42</v>
      </c>
      <c r="B175" t="str">
        <f>"67985807"</f>
        <v>67985807</v>
      </c>
      <c r="C175" t="s">
        <v>214</v>
      </c>
      <c r="D175">
        <v>506</v>
      </c>
      <c r="E175">
        <v>9572.3042371050997</v>
      </c>
      <c r="F175">
        <v>7787.2361308374002</v>
      </c>
      <c r="G175">
        <v>0</v>
      </c>
      <c r="H175">
        <v>0</v>
      </c>
      <c r="I175">
        <v>0</v>
      </c>
      <c r="J175">
        <v>5</v>
      </c>
      <c r="K175">
        <v>0</v>
      </c>
      <c r="L175">
        <v>1300.43</v>
      </c>
      <c r="M175">
        <v>1170.3900000000001</v>
      </c>
      <c r="N175">
        <v>20</v>
      </c>
      <c r="O175">
        <v>6.6666665077209002</v>
      </c>
      <c r="P175">
        <v>20.5602653127</v>
      </c>
      <c r="Q175">
        <v>27.226931820400001</v>
      </c>
      <c r="R175">
        <v>424.85500000000002</v>
      </c>
      <c r="S175">
        <f t="shared" si="2"/>
        <v>9409.708062657799</v>
      </c>
    </row>
    <row r="176" spans="1:19" x14ac:dyDescent="0.25">
      <c r="A176" t="s">
        <v>42</v>
      </c>
      <c r="B176" t="str">
        <f>"61389005"</f>
        <v>61389005</v>
      </c>
      <c r="C176" t="s">
        <v>215</v>
      </c>
      <c r="D176">
        <v>815</v>
      </c>
      <c r="E176">
        <v>12620.421644541</v>
      </c>
      <c r="F176">
        <v>17439.973277822999</v>
      </c>
      <c r="G176">
        <v>0</v>
      </c>
      <c r="H176">
        <v>0</v>
      </c>
      <c r="I176">
        <v>0</v>
      </c>
      <c r="J176">
        <v>10</v>
      </c>
      <c r="K176">
        <v>1.23</v>
      </c>
      <c r="L176">
        <v>2112.0500000000002</v>
      </c>
      <c r="M176">
        <v>2015.02</v>
      </c>
      <c r="N176">
        <v>0</v>
      </c>
      <c r="O176">
        <v>0</v>
      </c>
      <c r="P176">
        <v>80.791972071299995</v>
      </c>
      <c r="Q176">
        <v>80.791972071299995</v>
      </c>
      <c r="R176">
        <v>382.33800000000002</v>
      </c>
      <c r="S176">
        <f t="shared" si="2"/>
        <v>19918.123249894299</v>
      </c>
    </row>
    <row r="177" spans="1:19" x14ac:dyDescent="0.25">
      <c r="A177" t="s">
        <v>42</v>
      </c>
      <c r="B177" t="str">
        <f>"61389013"</f>
        <v>61389013</v>
      </c>
      <c r="C177" t="s">
        <v>216</v>
      </c>
      <c r="D177">
        <v>976</v>
      </c>
      <c r="E177">
        <v>29991.078442800001</v>
      </c>
      <c r="F177">
        <v>33923.057529477999</v>
      </c>
      <c r="G177">
        <v>0</v>
      </c>
      <c r="H177">
        <v>0</v>
      </c>
      <c r="I177">
        <v>0</v>
      </c>
      <c r="J177">
        <v>13.76</v>
      </c>
      <c r="K177">
        <v>1</v>
      </c>
      <c r="L177">
        <v>3943.58</v>
      </c>
      <c r="M177">
        <v>3675.18</v>
      </c>
      <c r="N177">
        <v>380</v>
      </c>
      <c r="O177">
        <v>273</v>
      </c>
      <c r="P177">
        <v>286.64664070769999</v>
      </c>
      <c r="Q177">
        <v>559.64664070770004</v>
      </c>
      <c r="R177">
        <v>2195.21</v>
      </c>
      <c r="S177">
        <f t="shared" si="2"/>
        <v>40353.094170185701</v>
      </c>
    </row>
    <row r="178" spans="1:19" x14ac:dyDescent="0.25">
      <c r="A178" t="s">
        <v>27</v>
      </c>
      <c r="B178" t="str">
        <f>"48546054"</f>
        <v>48546054</v>
      </c>
      <c r="C178" t="s">
        <v>217</v>
      </c>
      <c r="D178">
        <v>211</v>
      </c>
      <c r="E178">
        <v>3548.3703803144999</v>
      </c>
      <c r="F178">
        <v>2909.491699749</v>
      </c>
      <c r="G178">
        <v>0</v>
      </c>
      <c r="H178">
        <v>0</v>
      </c>
      <c r="I178">
        <v>0</v>
      </c>
      <c r="J178">
        <v>1</v>
      </c>
      <c r="K178">
        <v>0</v>
      </c>
      <c r="L178">
        <v>310.28300000000002</v>
      </c>
      <c r="M178">
        <v>279.255</v>
      </c>
      <c r="N178">
        <v>0</v>
      </c>
      <c r="O178">
        <v>0</v>
      </c>
      <c r="P178">
        <v>33.203043370099998</v>
      </c>
      <c r="Q178">
        <v>33.203043370099998</v>
      </c>
      <c r="R178">
        <v>150.518</v>
      </c>
      <c r="S178">
        <f t="shared" si="2"/>
        <v>3372.4677431191003</v>
      </c>
    </row>
    <row r="179" spans="1:19" x14ac:dyDescent="0.25">
      <c r="A179" t="s">
        <v>42</v>
      </c>
      <c r="B179" t="str">
        <f>"68378050"</f>
        <v>68378050</v>
      </c>
      <c r="C179" t="s">
        <v>218</v>
      </c>
      <c r="D179">
        <v>413</v>
      </c>
      <c r="E179">
        <v>14732.306672534</v>
      </c>
      <c r="F179">
        <v>14203.939795820001</v>
      </c>
      <c r="G179">
        <v>1</v>
      </c>
      <c r="H179">
        <v>1</v>
      </c>
      <c r="I179">
        <v>2000</v>
      </c>
      <c r="J179">
        <v>12.9</v>
      </c>
      <c r="K179">
        <v>3.8</v>
      </c>
      <c r="L179">
        <v>2776.21</v>
      </c>
      <c r="M179">
        <v>2858</v>
      </c>
      <c r="N179">
        <v>90</v>
      </c>
      <c r="O179">
        <v>17.466735124587998</v>
      </c>
      <c r="P179">
        <v>724.27157286859995</v>
      </c>
      <c r="Q179">
        <v>741.73830799320001</v>
      </c>
      <c r="R179">
        <v>3380.47</v>
      </c>
      <c r="S179">
        <f t="shared" si="2"/>
        <v>23184.148103813201</v>
      </c>
    </row>
    <row r="180" spans="1:19" x14ac:dyDescent="0.25">
      <c r="A180" t="s">
        <v>42</v>
      </c>
      <c r="B180" t="str">
        <f>"61388963"</f>
        <v>61388963</v>
      </c>
      <c r="C180" t="s">
        <v>219</v>
      </c>
      <c r="D180">
        <v>1408</v>
      </c>
      <c r="E180">
        <v>49415.587246615003</v>
      </c>
      <c r="F180">
        <v>57253.431565434999</v>
      </c>
      <c r="G180">
        <v>0</v>
      </c>
      <c r="H180">
        <v>0</v>
      </c>
      <c r="I180">
        <v>0</v>
      </c>
      <c r="J180">
        <v>16.670000000000002</v>
      </c>
      <c r="K180">
        <v>8.9</v>
      </c>
      <c r="L180">
        <v>9820.85</v>
      </c>
      <c r="M180">
        <v>11143.1</v>
      </c>
      <c r="N180">
        <v>220</v>
      </c>
      <c r="O180">
        <v>162</v>
      </c>
      <c r="P180">
        <v>401.9227349889</v>
      </c>
      <c r="Q180">
        <v>563.92273498889995</v>
      </c>
      <c r="R180">
        <v>3451.41</v>
      </c>
      <c r="S180">
        <f t="shared" si="2"/>
        <v>72411.864300423898</v>
      </c>
    </row>
    <row r="181" spans="1:19" x14ac:dyDescent="0.25">
      <c r="A181" t="s">
        <v>42</v>
      </c>
      <c r="B181" t="str">
        <f>"68378068"</f>
        <v>68378068</v>
      </c>
      <c r="C181" t="s">
        <v>220</v>
      </c>
      <c r="D181">
        <v>357</v>
      </c>
      <c r="E181">
        <v>4779.5849325963</v>
      </c>
      <c r="F181">
        <v>4329.9388267781997</v>
      </c>
      <c r="G181">
        <v>0</v>
      </c>
      <c r="H181">
        <v>0</v>
      </c>
      <c r="I181">
        <v>0</v>
      </c>
      <c r="J181">
        <v>4.5</v>
      </c>
      <c r="K181">
        <v>2.5</v>
      </c>
      <c r="L181">
        <v>878.60299999999995</v>
      </c>
      <c r="M181">
        <v>1005.26</v>
      </c>
      <c r="N181">
        <v>0</v>
      </c>
      <c r="O181">
        <v>0</v>
      </c>
      <c r="P181">
        <v>70.081312919699997</v>
      </c>
      <c r="Q181">
        <v>70.081312919699997</v>
      </c>
      <c r="R181">
        <v>223.68899999999999</v>
      </c>
      <c r="S181">
        <f t="shared" si="2"/>
        <v>5628.9691396979006</v>
      </c>
    </row>
    <row r="182" spans="1:19" x14ac:dyDescent="0.25">
      <c r="A182" t="s">
        <v>42</v>
      </c>
      <c r="B182" t="str">
        <f>"67985874"</f>
        <v>67985874</v>
      </c>
      <c r="C182" t="s">
        <v>221</v>
      </c>
      <c r="D182">
        <v>134</v>
      </c>
      <c r="E182">
        <v>3040.8055357643998</v>
      </c>
      <c r="F182">
        <v>3963.5047878587998</v>
      </c>
      <c r="G182">
        <v>0</v>
      </c>
      <c r="H182">
        <v>0</v>
      </c>
      <c r="I182">
        <v>0</v>
      </c>
      <c r="J182">
        <v>3</v>
      </c>
      <c r="K182">
        <v>0.6</v>
      </c>
      <c r="L182">
        <v>314.83199999999999</v>
      </c>
      <c r="M182">
        <v>311.02199999999999</v>
      </c>
      <c r="N182">
        <v>0</v>
      </c>
      <c r="O182">
        <v>0</v>
      </c>
      <c r="P182">
        <v>20.791279529699999</v>
      </c>
      <c r="Q182">
        <v>20.791279529699999</v>
      </c>
      <c r="R182">
        <v>215.422</v>
      </c>
      <c r="S182">
        <f t="shared" si="2"/>
        <v>4510.7400673884995</v>
      </c>
    </row>
    <row r="183" spans="1:19" x14ac:dyDescent="0.25">
      <c r="A183" t="s">
        <v>42</v>
      </c>
      <c r="B183" t="str">
        <f>"68378092"</f>
        <v>68378092</v>
      </c>
      <c r="C183" t="s">
        <v>222</v>
      </c>
      <c r="D183">
        <v>342</v>
      </c>
      <c r="E183">
        <v>3435.9398721399998</v>
      </c>
      <c r="F183">
        <v>2727.4108955247998</v>
      </c>
      <c r="G183">
        <v>0</v>
      </c>
      <c r="H183">
        <v>0</v>
      </c>
      <c r="I183">
        <v>0</v>
      </c>
      <c r="J183">
        <v>5.4</v>
      </c>
      <c r="K183">
        <v>2.4</v>
      </c>
      <c r="L183">
        <v>320.375</v>
      </c>
      <c r="M183">
        <v>350.91500000000002</v>
      </c>
      <c r="N183">
        <v>0</v>
      </c>
      <c r="O183">
        <v>0</v>
      </c>
      <c r="P183">
        <v>174.45773641720001</v>
      </c>
      <c r="Q183">
        <v>174.45773641720001</v>
      </c>
      <c r="R183">
        <v>352.875</v>
      </c>
      <c r="S183">
        <f t="shared" si="2"/>
        <v>3605.6586319419998</v>
      </c>
    </row>
    <row r="184" spans="1:19" x14ac:dyDescent="0.25">
      <c r="A184" t="s">
        <v>65</v>
      </c>
      <c r="B184" t="str">
        <f>"00023698"</f>
        <v>00023698</v>
      </c>
      <c r="C184" t="s">
        <v>223</v>
      </c>
      <c r="D184">
        <v>51</v>
      </c>
      <c r="E184">
        <v>477.60479645808999</v>
      </c>
      <c r="F184">
        <v>411.62862245168998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22.284700000000001</v>
      </c>
      <c r="M184">
        <v>20.0562</v>
      </c>
      <c r="N184">
        <v>0</v>
      </c>
      <c r="O184">
        <v>0</v>
      </c>
      <c r="P184">
        <v>13.125807783799999</v>
      </c>
      <c r="Q184">
        <v>13.125807783799999</v>
      </c>
      <c r="R184">
        <v>14.0039</v>
      </c>
      <c r="S184">
        <f t="shared" si="2"/>
        <v>458.81453023548994</v>
      </c>
    </row>
    <row r="185" spans="1:19" x14ac:dyDescent="0.25">
      <c r="A185" t="s">
        <v>42</v>
      </c>
      <c r="B185" t="str">
        <f>"68378114"</f>
        <v>68378114</v>
      </c>
      <c r="C185" t="s">
        <v>224</v>
      </c>
      <c r="D185">
        <v>376</v>
      </c>
      <c r="E185">
        <v>3884.5118142869001</v>
      </c>
      <c r="F185">
        <v>3344.4015881544001</v>
      </c>
      <c r="G185">
        <v>0</v>
      </c>
      <c r="H185">
        <v>0</v>
      </c>
      <c r="I185">
        <v>0</v>
      </c>
      <c r="J185">
        <v>3</v>
      </c>
      <c r="K185">
        <v>1</v>
      </c>
      <c r="L185">
        <v>445.54599999999999</v>
      </c>
      <c r="M185">
        <v>466.262</v>
      </c>
      <c r="N185">
        <v>0</v>
      </c>
      <c r="O185">
        <v>0</v>
      </c>
      <c r="P185">
        <v>66.931119051600007</v>
      </c>
      <c r="Q185">
        <v>66.931119051600007</v>
      </c>
      <c r="R185">
        <v>205.64599999999999</v>
      </c>
      <c r="S185">
        <f t="shared" si="2"/>
        <v>4083.2407072060005</v>
      </c>
    </row>
    <row r="186" spans="1:19" x14ac:dyDescent="0.25">
      <c r="A186" t="s">
        <v>27</v>
      </c>
      <c r="B186" t="str">
        <f>"75112779"</f>
        <v>75112779</v>
      </c>
      <c r="C186" t="s">
        <v>225</v>
      </c>
      <c r="D186">
        <v>113</v>
      </c>
      <c r="E186">
        <v>1896.673856847</v>
      </c>
      <c r="F186">
        <v>1520.2766117391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P186">
        <v>0</v>
      </c>
      <c r="Q186">
        <v>0</v>
      </c>
      <c r="R186">
        <v>0</v>
      </c>
      <c r="S186">
        <f t="shared" si="2"/>
        <v>1520.2766117391</v>
      </c>
    </row>
    <row r="187" spans="1:19" x14ac:dyDescent="0.25">
      <c r="A187" t="s">
        <v>42</v>
      </c>
      <c r="B187" t="str">
        <f>"68081731"</f>
        <v>68081731</v>
      </c>
      <c r="C187" t="s">
        <v>226</v>
      </c>
      <c r="D187">
        <v>327</v>
      </c>
      <c r="E187">
        <v>8654.8423266460995</v>
      </c>
      <c r="F187">
        <v>9692.8875607245009</v>
      </c>
      <c r="G187">
        <v>0</v>
      </c>
      <c r="H187">
        <v>0</v>
      </c>
      <c r="I187">
        <v>0</v>
      </c>
      <c r="J187">
        <v>5</v>
      </c>
      <c r="K187">
        <v>2.0299999999999998</v>
      </c>
      <c r="L187">
        <v>1807.35</v>
      </c>
      <c r="M187">
        <v>1949.1</v>
      </c>
      <c r="N187">
        <v>220</v>
      </c>
      <c r="O187">
        <v>106.66666650772</v>
      </c>
      <c r="P187">
        <v>670.84428486510001</v>
      </c>
      <c r="Q187">
        <v>777.51095137280004</v>
      </c>
      <c r="R187">
        <v>2935.72</v>
      </c>
      <c r="S187">
        <f t="shared" si="2"/>
        <v>15355.218512097301</v>
      </c>
    </row>
    <row r="188" spans="1:19" x14ac:dyDescent="0.25">
      <c r="A188" t="s">
        <v>42</v>
      </c>
      <c r="B188" t="str">
        <f>"68378122"</f>
        <v>68378122</v>
      </c>
      <c r="C188" t="s">
        <v>227</v>
      </c>
      <c r="D188">
        <v>253</v>
      </c>
      <c r="E188">
        <v>1840.7943482539999</v>
      </c>
      <c r="F188">
        <v>1523.6365403809</v>
      </c>
      <c r="G188">
        <v>0</v>
      </c>
      <c r="H188">
        <v>0</v>
      </c>
      <c r="I188">
        <v>0</v>
      </c>
      <c r="J188">
        <v>2</v>
      </c>
      <c r="K188">
        <v>0</v>
      </c>
      <c r="L188">
        <v>222.94800000000001</v>
      </c>
      <c r="M188">
        <v>200.65299999999999</v>
      </c>
      <c r="N188">
        <v>0</v>
      </c>
      <c r="P188">
        <v>0</v>
      </c>
      <c r="Q188">
        <v>0</v>
      </c>
      <c r="R188">
        <v>0</v>
      </c>
      <c r="S188">
        <f t="shared" si="2"/>
        <v>1724.2895403809</v>
      </c>
    </row>
    <row r="189" spans="1:19" x14ac:dyDescent="0.25">
      <c r="A189" t="s">
        <v>42</v>
      </c>
      <c r="B189" t="str">
        <f>"67985891"</f>
        <v>67985891</v>
      </c>
      <c r="C189" t="s">
        <v>228</v>
      </c>
      <c r="D189">
        <v>293</v>
      </c>
      <c r="E189">
        <v>5480.243606086</v>
      </c>
      <c r="F189">
        <v>5197.6555572381003</v>
      </c>
      <c r="G189">
        <v>0</v>
      </c>
      <c r="H189">
        <v>0</v>
      </c>
      <c r="I189">
        <v>0</v>
      </c>
      <c r="J189">
        <v>5.09</v>
      </c>
      <c r="K189">
        <v>0</v>
      </c>
      <c r="L189">
        <v>681.74900000000002</v>
      </c>
      <c r="M189">
        <v>613.57399999999996</v>
      </c>
      <c r="N189">
        <v>50</v>
      </c>
      <c r="O189">
        <v>22.727272748947001</v>
      </c>
      <c r="P189">
        <v>83.3751310432</v>
      </c>
      <c r="Q189">
        <v>106.10240379210001</v>
      </c>
      <c r="R189">
        <v>1405.24</v>
      </c>
      <c r="S189">
        <f t="shared" si="2"/>
        <v>7322.5719610301994</v>
      </c>
    </row>
    <row r="190" spans="1:19" x14ac:dyDescent="0.25">
      <c r="A190" t="s">
        <v>42</v>
      </c>
      <c r="B190" t="str">
        <f>"68378297"</f>
        <v>68378297</v>
      </c>
      <c r="C190" t="s">
        <v>229</v>
      </c>
      <c r="D190">
        <v>309</v>
      </c>
      <c r="E190">
        <v>4503.3541668569997</v>
      </c>
      <c r="F190">
        <v>3833.3606497512001</v>
      </c>
      <c r="G190">
        <v>0</v>
      </c>
      <c r="H190">
        <v>0</v>
      </c>
      <c r="I190">
        <v>0</v>
      </c>
      <c r="J190">
        <v>3</v>
      </c>
      <c r="K190">
        <v>0</v>
      </c>
      <c r="L190">
        <v>323.07799999999997</v>
      </c>
      <c r="M190">
        <v>290.77</v>
      </c>
      <c r="N190">
        <v>20</v>
      </c>
      <c r="O190">
        <v>20</v>
      </c>
      <c r="P190">
        <v>526.50240182719995</v>
      </c>
      <c r="Q190">
        <v>546.50240182719995</v>
      </c>
      <c r="R190">
        <v>1930.47</v>
      </c>
      <c r="S190">
        <f t="shared" si="2"/>
        <v>6601.1030515783996</v>
      </c>
    </row>
    <row r="191" spans="1:19" x14ac:dyDescent="0.25">
      <c r="A191" t="s">
        <v>42</v>
      </c>
      <c r="B191" t="str">
        <f>"67985556"</f>
        <v>67985556</v>
      </c>
      <c r="C191" t="s">
        <v>230</v>
      </c>
      <c r="D191">
        <v>645</v>
      </c>
      <c r="E191">
        <v>13934.478151556001</v>
      </c>
      <c r="F191">
        <v>11041.224792608</v>
      </c>
      <c r="G191">
        <v>0</v>
      </c>
      <c r="H191">
        <v>0</v>
      </c>
      <c r="I191">
        <v>0</v>
      </c>
      <c r="J191">
        <v>7</v>
      </c>
      <c r="K191">
        <v>0</v>
      </c>
      <c r="L191">
        <v>1457.81</v>
      </c>
      <c r="M191">
        <v>1312.03</v>
      </c>
      <c r="N191">
        <v>0</v>
      </c>
      <c r="O191">
        <v>0</v>
      </c>
      <c r="P191">
        <v>317.32952898320002</v>
      </c>
      <c r="Q191">
        <v>317.32952898320002</v>
      </c>
      <c r="R191">
        <v>1240.17</v>
      </c>
      <c r="S191">
        <f t="shared" si="2"/>
        <v>13910.754321591201</v>
      </c>
    </row>
    <row r="192" spans="1:19" x14ac:dyDescent="0.25">
      <c r="A192" t="s">
        <v>42</v>
      </c>
      <c r="B192" t="str">
        <f>"61388998"</f>
        <v>61388998</v>
      </c>
      <c r="C192" t="s">
        <v>231</v>
      </c>
      <c r="D192">
        <v>419</v>
      </c>
      <c r="E192">
        <v>9813.0777213259007</v>
      </c>
      <c r="F192">
        <v>12037.739952399999</v>
      </c>
      <c r="G192">
        <v>0</v>
      </c>
      <c r="H192">
        <v>0</v>
      </c>
      <c r="I192">
        <v>0</v>
      </c>
      <c r="J192">
        <v>8.1999999999999993</v>
      </c>
      <c r="K192">
        <v>0</v>
      </c>
      <c r="L192">
        <v>1178.97</v>
      </c>
      <c r="M192">
        <v>1061.07</v>
      </c>
      <c r="N192">
        <v>50</v>
      </c>
      <c r="O192">
        <v>30</v>
      </c>
      <c r="P192">
        <v>373.7810031002</v>
      </c>
      <c r="Q192">
        <v>403.7810031002</v>
      </c>
      <c r="R192">
        <v>1079.17</v>
      </c>
      <c r="S192">
        <f t="shared" si="2"/>
        <v>14581.7609555002</v>
      </c>
    </row>
    <row r="193" spans="1:19" x14ac:dyDescent="0.25">
      <c r="A193" t="s">
        <v>29</v>
      </c>
      <c r="B193" t="str">
        <f>"00027251"</f>
        <v>00027251</v>
      </c>
      <c r="C193" t="s">
        <v>232</v>
      </c>
      <c r="D193">
        <v>69</v>
      </c>
      <c r="E193">
        <v>796.21883359772005</v>
      </c>
      <c r="F193">
        <v>564.10323192660996</v>
      </c>
      <c r="G193">
        <v>0</v>
      </c>
      <c r="H193">
        <v>0</v>
      </c>
      <c r="I193">
        <v>0</v>
      </c>
      <c r="J193">
        <v>1</v>
      </c>
      <c r="K193">
        <v>0</v>
      </c>
      <c r="L193">
        <v>207.822</v>
      </c>
      <c r="M193">
        <v>187.04</v>
      </c>
      <c r="N193">
        <v>0</v>
      </c>
      <c r="O193">
        <v>0</v>
      </c>
      <c r="P193">
        <v>1.0290633303000001</v>
      </c>
      <c r="Q193">
        <v>1.0290633303000001</v>
      </c>
      <c r="R193">
        <v>552.66</v>
      </c>
      <c r="S193">
        <f t="shared" si="2"/>
        <v>1304.8322952569099</v>
      </c>
    </row>
    <row r="194" spans="1:19" x14ac:dyDescent="0.25">
      <c r="A194" t="s">
        <v>42</v>
      </c>
      <c r="B194" t="str">
        <f>"67985904"</f>
        <v>67985904</v>
      </c>
      <c r="C194" t="s">
        <v>233</v>
      </c>
      <c r="D194">
        <v>319</v>
      </c>
      <c r="E194">
        <v>5085.4169174098997</v>
      </c>
      <c r="F194">
        <v>4909.2202035179998</v>
      </c>
      <c r="G194">
        <v>0</v>
      </c>
      <c r="H194">
        <v>0</v>
      </c>
      <c r="I194">
        <v>0</v>
      </c>
      <c r="J194">
        <v>5</v>
      </c>
      <c r="K194">
        <v>1</v>
      </c>
      <c r="L194">
        <v>709.346</v>
      </c>
      <c r="M194">
        <v>700.76099999999997</v>
      </c>
      <c r="N194">
        <v>0</v>
      </c>
      <c r="O194">
        <v>0</v>
      </c>
      <c r="P194">
        <v>114.2890335358</v>
      </c>
      <c r="Q194">
        <v>114.2890335358</v>
      </c>
      <c r="R194">
        <v>463.67700000000002</v>
      </c>
      <c r="S194">
        <f t="shared" si="2"/>
        <v>6187.9472370537997</v>
      </c>
    </row>
    <row r="195" spans="1:19" x14ac:dyDescent="0.25">
      <c r="A195" t="s">
        <v>56</v>
      </c>
      <c r="B195" t="str">
        <f>"61383082"</f>
        <v>61383082</v>
      </c>
      <c r="C195" t="s">
        <v>234</v>
      </c>
      <c r="D195">
        <v>231</v>
      </c>
      <c r="E195">
        <v>2107.3132238030998</v>
      </c>
      <c r="F195">
        <v>1867.5342081178001</v>
      </c>
      <c r="G195">
        <v>0</v>
      </c>
      <c r="H195">
        <v>0</v>
      </c>
      <c r="I195">
        <v>0</v>
      </c>
      <c r="J195">
        <v>1</v>
      </c>
      <c r="K195">
        <v>0</v>
      </c>
      <c r="L195">
        <v>222.405</v>
      </c>
      <c r="M195">
        <v>200.16499999999999</v>
      </c>
      <c r="N195">
        <v>0</v>
      </c>
      <c r="O195">
        <v>0</v>
      </c>
      <c r="P195">
        <v>526.0823759781</v>
      </c>
      <c r="Q195">
        <v>526.0823759781</v>
      </c>
      <c r="R195">
        <v>1641.22</v>
      </c>
      <c r="S195">
        <f t="shared" si="2"/>
        <v>4235.0015840959004</v>
      </c>
    </row>
    <row r="196" spans="1:19" x14ac:dyDescent="0.25">
      <c r="A196" t="s">
        <v>101</v>
      </c>
      <c r="B196" t="str">
        <f>"00098604"</f>
        <v>00098604</v>
      </c>
      <c r="C196" t="s">
        <v>235</v>
      </c>
      <c r="D196">
        <v>7</v>
      </c>
      <c r="E196">
        <v>142.08804382116</v>
      </c>
      <c r="F196">
        <v>121.67601994667</v>
      </c>
      <c r="G196">
        <v>0</v>
      </c>
      <c r="H196">
        <v>0</v>
      </c>
      <c r="I196">
        <v>0</v>
      </c>
      <c r="J196">
        <v>1</v>
      </c>
      <c r="K196">
        <v>0</v>
      </c>
      <c r="L196">
        <v>5.8319999999999999</v>
      </c>
      <c r="M196">
        <v>5.2488000000000001</v>
      </c>
      <c r="N196">
        <v>0</v>
      </c>
      <c r="P196">
        <v>0</v>
      </c>
      <c r="Q196">
        <v>0</v>
      </c>
      <c r="R196">
        <v>0</v>
      </c>
      <c r="S196">
        <f t="shared" ref="S196:S245" si="3">F196+I196+M196+Q196+R196</f>
        <v>126.92481994667</v>
      </c>
    </row>
    <row r="197" spans="1:19" x14ac:dyDescent="0.25">
      <c r="A197" t="s">
        <v>27</v>
      </c>
      <c r="B197" t="str">
        <f>"62157124"</f>
        <v>62157124</v>
      </c>
      <c r="C197" t="s">
        <v>236</v>
      </c>
      <c r="D197">
        <v>1472</v>
      </c>
      <c r="E197">
        <v>19928.26226236</v>
      </c>
      <c r="F197">
        <v>19178.641534784001</v>
      </c>
      <c r="G197">
        <v>0</v>
      </c>
      <c r="H197">
        <v>0</v>
      </c>
      <c r="I197">
        <v>0</v>
      </c>
      <c r="J197">
        <v>5</v>
      </c>
      <c r="K197">
        <v>0</v>
      </c>
      <c r="L197">
        <v>1901.45</v>
      </c>
      <c r="M197">
        <v>1711.31</v>
      </c>
      <c r="N197">
        <v>0</v>
      </c>
      <c r="O197">
        <v>0</v>
      </c>
      <c r="P197">
        <v>342.34206829610002</v>
      </c>
      <c r="Q197">
        <v>342.34206829610002</v>
      </c>
      <c r="R197">
        <v>754.46900000000005</v>
      </c>
      <c r="S197">
        <f t="shared" si="3"/>
        <v>21986.762603080104</v>
      </c>
    </row>
    <row r="198" spans="1:19" x14ac:dyDescent="0.25">
      <c r="A198" t="s">
        <v>27</v>
      </c>
      <c r="B198" t="str">
        <f>"26224054"</f>
        <v>26224054</v>
      </c>
      <c r="C198" t="s">
        <v>237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P198">
        <v>0</v>
      </c>
      <c r="Q198">
        <v>0</v>
      </c>
      <c r="R198">
        <v>0</v>
      </c>
      <c r="S198">
        <f t="shared" si="3"/>
        <v>0</v>
      </c>
    </row>
    <row r="199" spans="1:19" x14ac:dyDescent="0.25">
      <c r="A199" t="s">
        <v>36</v>
      </c>
      <c r="B199" t="str">
        <f>"28594771"</f>
        <v>28594771</v>
      </c>
      <c r="C199" t="s">
        <v>238</v>
      </c>
      <c r="D199">
        <v>2</v>
      </c>
      <c r="E199">
        <v>31.125</v>
      </c>
      <c r="F199">
        <v>26.805000305176002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155.64057837819999</v>
      </c>
      <c r="Q199">
        <v>155.64057837819999</v>
      </c>
      <c r="R199">
        <v>330.05500000000001</v>
      </c>
      <c r="S199">
        <f t="shared" si="3"/>
        <v>512.50057868337603</v>
      </c>
    </row>
    <row r="200" spans="1:19" x14ac:dyDescent="0.25">
      <c r="A200" t="s">
        <v>56</v>
      </c>
      <c r="B200" t="str">
        <f>"29372259"</f>
        <v>29372259</v>
      </c>
      <c r="C200" t="s">
        <v>239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27.395800000000001</v>
      </c>
      <c r="M200">
        <v>24.656199999999998</v>
      </c>
      <c r="N200">
        <v>0</v>
      </c>
      <c r="O200">
        <v>0</v>
      </c>
      <c r="P200">
        <v>2006.3794759059999</v>
      </c>
      <c r="Q200">
        <v>2006.3794759059999</v>
      </c>
      <c r="R200">
        <v>3042.36</v>
      </c>
      <c r="S200">
        <f t="shared" si="3"/>
        <v>5073.3956759060002</v>
      </c>
    </row>
    <row r="201" spans="1:19" x14ac:dyDescent="0.25">
      <c r="A201" t="s">
        <v>65</v>
      </c>
      <c r="B201" t="str">
        <f>"00064165"</f>
        <v>00064165</v>
      </c>
      <c r="C201" t="s">
        <v>240</v>
      </c>
      <c r="D201">
        <v>2148</v>
      </c>
      <c r="E201">
        <v>16465.462292149001</v>
      </c>
      <c r="F201">
        <v>14971.177554631</v>
      </c>
      <c r="G201">
        <v>0</v>
      </c>
      <c r="H201">
        <v>0</v>
      </c>
      <c r="I201">
        <v>0</v>
      </c>
      <c r="J201">
        <v>8.35</v>
      </c>
      <c r="K201">
        <v>1.67</v>
      </c>
      <c r="L201">
        <v>2870.54</v>
      </c>
      <c r="M201">
        <v>2835.8</v>
      </c>
      <c r="N201">
        <v>0</v>
      </c>
      <c r="O201">
        <v>0</v>
      </c>
      <c r="P201">
        <v>1714.6295211321001</v>
      </c>
      <c r="Q201">
        <v>1714.6295211321001</v>
      </c>
      <c r="R201">
        <v>5105.13</v>
      </c>
      <c r="S201">
        <f t="shared" si="3"/>
        <v>24626.737075763103</v>
      </c>
    </row>
    <row r="202" spans="1:19" x14ac:dyDescent="0.25">
      <c r="A202" t="s">
        <v>63</v>
      </c>
      <c r="B202" t="str">
        <f>"46709002"</f>
        <v>46709002</v>
      </c>
      <c r="C202" t="s">
        <v>241</v>
      </c>
      <c r="D202">
        <v>175</v>
      </c>
      <c r="E202">
        <v>754.83495490112</v>
      </c>
      <c r="F202">
        <v>586.3342102949</v>
      </c>
      <c r="G202">
        <v>0</v>
      </c>
      <c r="H202">
        <v>0</v>
      </c>
      <c r="I202">
        <v>0</v>
      </c>
      <c r="J202">
        <v>3</v>
      </c>
      <c r="K202">
        <v>0</v>
      </c>
      <c r="L202">
        <v>566.11699999999996</v>
      </c>
      <c r="M202">
        <v>509.505</v>
      </c>
      <c r="N202">
        <v>230</v>
      </c>
      <c r="O202">
        <v>220</v>
      </c>
      <c r="P202">
        <v>503.2329697879</v>
      </c>
      <c r="Q202">
        <v>723.23296978789995</v>
      </c>
      <c r="R202">
        <v>6312.45</v>
      </c>
      <c r="S202">
        <f t="shared" si="3"/>
        <v>8131.5221800828003</v>
      </c>
    </row>
    <row r="203" spans="1:19" x14ac:dyDescent="0.25">
      <c r="A203" t="s">
        <v>27</v>
      </c>
      <c r="B203" t="str">
        <f>"61989100"</f>
        <v>61989100</v>
      </c>
      <c r="C203" t="s">
        <v>242</v>
      </c>
      <c r="D203">
        <v>7755</v>
      </c>
      <c r="E203">
        <v>84421.321016889997</v>
      </c>
      <c r="F203">
        <v>63231.977546581998</v>
      </c>
      <c r="G203">
        <v>0</v>
      </c>
      <c r="H203">
        <v>0</v>
      </c>
      <c r="I203">
        <v>0</v>
      </c>
      <c r="J203">
        <v>21</v>
      </c>
      <c r="K203">
        <v>2.4500000000000002</v>
      </c>
      <c r="L203">
        <v>8449.93</v>
      </c>
      <c r="M203">
        <v>8038.19</v>
      </c>
      <c r="N203">
        <v>1320</v>
      </c>
      <c r="O203">
        <v>699.19047176838001</v>
      </c>
      <c r="P203">
        <v>3665.5865862515002</v>
      </c>
      <c r="Q203">
        <v>4364.7770580198003</v>
      </c>
      <c r="R203">
        <v>23287.9</v>
      </c>
      <c r="S203">
        <f t="shared" si="3"/>
        <v>98922.844604601793</v>
      </c>
    </row>
    <row r="204" spans="1:19" x14ac:dyDescent="0.25">
      <c r="A204" t="s">
        <v>27</v>
      </c>
      <c r="B204" t="str">
        <f>"61384399"</f>
        <v>61384399</v>
      </c>
      <c r="C204" t="s">
        <v>243</v>
      </c>
      <c r="D204">
        <v>3310</v>
      </c>
      <c r="E204">
        <v>31589.435099546001</v>
      </c>
      <c r="F204">
        <v>21846.447043061002</v>
      </c>
      <c r="G204">
        <v>0</v>
      </c>
      <c r="H204">
        <v>0</v>
      </c>
      <c r="I204">
        <v>0</v>
      </c>
      <c r="J204">
        <v>7</v>
      </c>
      <c r="K204">
        <v>0.5</v>
      </c>
      <c r="L204">
        <v>2430.65</v>
      </c>
      <c r="M204">
        <v>2263.89</v>
      </c>
      <c r="N204">
        <v>0</v>
      </c>
      <c r="O204">
        <v>0</v>
      </c>
      <c r="P204">
        <v>257.53884936600002</v>
      </c>
      <c r="Q204">
        <v>257.53884936600002</v>
      </c>
      <c r="R204">
        <v>1074.94</v>
      </c>
      <c r="S204">
        <f t="shared" si="3"/>
        <v>25442.815892426999</v>
      </c>
    </row>
    <row r="205" spans="1:19" x14ac:dyDescent="0.25">
      <c r="A205" t="s">
        <v>27</v>
      </c>
      <c r="B205" t="str">
        <f>"26033909"</f>
        <v>26033909</v>
      </c>
      <c r="C205" t="s">
        <v>244</v>
      </c>
      <c r="D205">
        <v>31</v>
      </c>
      <c r="E205">
        <v>643.93629017410001</v>
      </c>
      <c r="F205">
        <v>445.80384530621001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10.6317</v>
      </c>
      <c r="M205">
        <v>9.5685300000000009</v>
      </c>
      <c r="N205">
        <v>0</v>
      </c>
      <c r="P205">
        <v>0</v>
      </c>
      <c r="Q205">
        <v>0</v>
      </c>
      <c r="R205">
        <v>0</v>
      </c>
      <c r="S205">
        <f t="shared" si="3"/>
        <v>455.37237530621002</v>
      </c>
    </row>
    <row r="206" spans="1:19" x14ac:dyDescent="0.25">
      <c r="A206" t="s">
        <v>27</v>
      </c>
      <c r="B206" t="str">
        <f>"04274644"</f>
        <v>04274644</v>
      </c>
      <c r="C206" t="s">
        <v>564</v>
      </c>
      <c r="D206">
        <v>200</v>
      </c>
      <c r="E206">
        <v>1886.5177568680001</v>
      </c>
      <c r="F206">
        <v>1260.1660324832999</v>
      </c>
      <c r="G206">
        <v>0</v>
      </c>
      <c r="H206">
        <v>0</v>
      </c>
      <c r="I206">
        <v>0</v>
      </c>
      <c r="J206">
        <v>1</v>
      </c>
      <c r="K206">
        <v>0</v>
      </c>
      <c r="L206">
        <v>89.380300000000005</v>
      </c>
      <c r="M206">
        <v>80.442300000000003</v>
      </c>
      <c r="N206">
        <v>0</v>
      </c>
      <c r="O206">
        <v>0</v>
      </c>
      <c r="P206">
        <v>63.507908381500002</v>
      </c>
      <c r="Q206">
        <v>63.507908381500002</v>
      </c>
      <c r="R206">
        <v>46.063000000000002</v>
      </c>
      <c r="S206">
        <f>F206+I206+M206+Q206+R206</f>
        <v>1450.1792408648</v>
      </c>
    </row>
    <row r="207" spans="1:19" x14ac:dyDescent="0.25">
      <c r="A207" t="s">
        <v>27</v>
      </c>
      <c r="B207" t="str">
        <f>"25619161"</f>
        <v>25619161</v>
      </c>
      <c r="C207" t="s">
        <v>245</v>
      </c>
      <c r="D207">
        <v>39</v>
      </c>
      <c r="E207">
        <v>367.18091678121999</v>
      </c>
      <c r="F207">
        <v>203.30127584581999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8.9748000000000001</v>
      </c>
      <c r="M207">
        <v>8.0773200000000003</v>
      </c>
      <c r="N207">
        <v>0</v>
      </c>
      <c r="P207">
        <v>0</v>
      </c>
      <c r="Q207">
        <v>0</v>
      </c>
      <c r="R207">
        <v>0</v>
      </c>
      <c r="S207">
        <f t="shared" si="3"/>
        <v>211.37859584581997</v>
      </c>
    </row>
    <row r="208" spans="1:19" x14ac:dyDescent="0.25">
      <c r="A208" t="s">
        <v>27</v>
      </c>
      <c r="B208" t="str">
        <f>"60461373"</f>
        <v>60461373</v>
      </c>
      <c r="C208" t="s">
        <v>246</v>
      </c>
      <c r="D208">
        <v>3375</v>
      </c>
      <c r="E208">
        <v>77742.862533820007</v>
      </c>
      <c r="F208">
        <v>81290.711432504002</v>
      </c>
      <c r="G208">
        <v>0</v>
      </c>
      <c r="H208">
        <v>0</v>
      </c>
      <c r="I208">
        <v>0</v>
      </c>
      <c r="J208">
        <v>23.25</v>
      </c>
      <c r="K208">
        <v>7.33</v>
      </c>
      <c r="L208">
        <v>10477.1</v>
      </c>
      <c r="M208">
        <v>10881.1</v>
      </c>
      <c r="N208">
        <v>1190</v>
      </c>
      <c r="O208">
        <v>347.65088897943002</v>
      </c>
      <c r="P208">
        <v>2336.4357881166002</v>
      </c>
      <c r="Q208">
        <v>2684.0866770960001</v>
      </c>
      <c r="R208">
        <v>12285.2</v>
      </c>
      <c r="S208">
        <f t="shared" si="3"/>
        <v>107141.0981096</v>
      </c>
    </row>
    <row r="209" spans="1:19" x14ac:dyDescent="0.25">
      <c r="A209" t="s">
        <v>27</v>
      </c>
      <c r="B209" t="str">
        <f>"25875167"</f>
        <v>25875167</v>
      </c>
      <c r="C209" t="s">
        <v>247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P209">
        <v>0</v>
      </c>
      <c r="Q209">
        <v>0</v>
      </c>
      <c r="R209">
        <v>0</v>
      </c>
      <c r="S209">
        <f t="shared" si="3"/>
        <v>0</v>
      </c>
    </row>
    <row r="210" spans="1:19" x14ac:dyDescent="0.25">
      <c r="A210" t="s">
        <v>27</v>
      </c>
      <c r="B210" t="str">
        <f>"26441021"</f>
        <v>26441021</v>
      </c>
      <c r="C210" t="s">
        <v>248</v>
      </c>
      <c r="D210">
        <v>17</v>
      </c>
      <c r="E210">
        <v>136.1550961408</v>
      </c>
      <c r="F210">
        <v>75.396719091573004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P210">
        <v>0</v>
      </c>
      <c r="Q210">
        <v>0</v>
      </c>
      <c r="R210">
        <v>0</v>
      </c>
      <c r="S210">
        <f t="shared" si="3"/>
        <v>75.396719091573004</v>
      </c>
    </row>
    <row r="211" spans="1:19" x14ac:dyDescent="0.25">
      <c r="A211" t="s">
        <v>27</v>
      </c>
      <c r="B211" t="str">
        <f>"71226401"</f>
        <v>71226401</v>
      </c>
      <c r="C211" t="s">
        <v>249</v>
      </c>
      <c r="D211">
        <v>128</v>
      </c>
      <c r="E211">
        <v>1056.4187925988999</v>
      </c>
      <c r="F211">
        <v>765.21960835821005</v>
      </c>
      <c r="G211">
        <v>0</v>
      </c>
      <c r="H211">
        <v>0</v>
      </c>
      <c r="I211">
        <v>0</v>
      </c>
      <c r="J211">
        <v>1</v>
      </c>
      <c r="K211">
        <v>0</v>
      </c>
      <c r="L211">
        <v>20.902100000000001</v>
      </c>
      <c r="M211">
        <v>18.811900000000001</v>
      </c>
      <c r="N211">
        <v>0</v>
      </c>
      <c r="P211">
        <v>0</v>
      </c>
      <c r="Q211">
        <v>0</v>
      </c>
      <c r="R211">
        <v>0</v>
      </c>
      <c r="S211">
        <f t="shared" si="3"/>
        <v>784.03150835821009</v>
      </c>
    </row>
    <row r="212" spans="1:19" x14ac:dyDescent="0.25">
      <c r="A212" t="s">
        <v>27</v>
      </c>
      <c r="B212" t="str">
        <f>"75081431"</f>
        <v>75081431</v>
      </c>
      <c r="C212" t="s">
        <v>250</v>
      </c>
      <c r="D212">
        <v>176</v>
      </c>
      <c r="E212">
        <v>1907.7174194329</v>
      </c>
      <c r="F212">
        <v>1169.6407071629999</v>
      </c>
      <c r="G212">
        <v>0</v>
      </c>
      <c r="H212">
        <v>0</v>
      </c>
      <c r="I212">
        <v>0</v>
      </c>
      <c r="J212">
        <v>1</v>
      </c>
      <c r="K212">
        <v>0</v>
      </c>
      <c r="L212">
        <v>102.048</v>
      </c>
      <c r="M212">
        <v>91.843199999999996</v>
      </c>
      <c r="N212">
        <v>50</v>
      </c>
      <c r="O212">
        <v>50</v>
      </c>
      <c r="P212">
        <v>23.479444963799999</v>
      </c>
      <c r="Q212">
        <v>73.479444963800006</v>
      </c>
      <c r="R212">
        <v>300.81400000000002</v>
      </c>
      <c r="S212">
        <f t="shared" si="3"/>
        <v>1635.7773521268</v>
      </c>
    </row>
    <row r="213" spans="1:19" x14ac:dyDescent="0.25">
      <c r="A213" t="s">
        <v>27</v>
      </c>
      <c r="B213" t="str">
        <f>"27132781"</f>
        <v>27132781</v>
      </c>
      <c r="C213" t="s">
        <v>251</v>
      </c>
      <c r="D213">
        <v>17</v>
      </c>
      <c r="E213">
        <v>210.45568746032001</v>
      </c>
      <c r="F213">
        <v>148.96296569685001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P213">
        <v>0</v>
      </c>
      <c r="Q213">
        <v>0</v>
      </c>
      <c r="R213">
        <v>0</v>
      </c>
      <c r="S213">
        <f t="shared" si="3"/>
        <v>148.96296569685001</v>
      </c>
    </row>
    <row r="214" spans="1:19" x14ac:dyDescent="0.25">
      <c r="A214" t="s">
        <v>27</v>
      </c>
      <c r="B214" t="str">
        <f>"60461071"</f>
        <v>60461071</v>
      </c>
      <c r="C214" t="s">
        <v>252</v>
      </c>
      <c r="D214">
        <v>115</v>
      </c>
      <c r="E214">
        <v>2329.7928074203001</v>
      </c>
      <c r="F214">
        <v>1749.8655966365</v>
      </c>
      <c r="G214">
        <v>0</v>
      </c>
      <c r="H214">
        <v>0</v>
      </c>
      <c r="I214">
        <v>0</v>
      </c>
      <c r="J214">
        <v>1</v>
      </c>
      <c r="K214">
        <v>1</v>
      </c>
      <c r="L214">
        <v>205.42599999999999</v>
      </c>
      <c r="M214">
        <v>275.16500000000002</v>
      </c>
      <c r="N214">
        <v>0</v>
      </c>
      <c r="O214">
        <v>0</v>
      </c>
      <c r="P214">
        <v>108.00964709199999</v>
      </c>
      <c r="Q214">
        <v>108.00964709199999</v>
      </c>
      <c r="R214">
        <v>303.62299999999999</v>
      </c>
      <c r="S214">
        <f t="shared" si="3"/>
        <v>2436.6632437284998</v>
      </c>
    </row>
    <row r="215" spans="1:19" x14ac:dyDescent="0.25">
      <c r="A215" t="s">
        <v>27</v>
      </c>
      <c r="B215" t="str">
        <f>"00216305"</f>
        <v>00216305</v>
      </c>
      <c r="C215" t="s">
        <v>253</v>
      </c>
      <c r="D215">
        <v>5958</v>
      </c>
      <c r="E215">
        <v>96822.183111218998</v>
      </c>
      <c r="F215">
        <v>87658.934293679005</v>
      </c>
      <c r="G215">
        <v>0</v>
      </c>
      <c r="H215">
        <v>0</v>
      </c>
      <c r="I215">
        <v>0</v>
      </c>
      <c r="J215">
        <v>39</v>
      </c>
      <c r="K215">
        <v>8.4</v>
      </c>
      <c r="L215">
        <v>15194.5</v>
      </c>
      <c r="M215">
        <v>15113.3</v>
      </c>
      <c r="N215">
        <v>680</v>
      </c>
      <c r="O215">
        <v>581.77558660506998</v>
      </c>
      <c r="P215">
        <v>7347.5961832020002</v>
      </c>
      <c r="Q215">
        <v>7929.3717698070004</v>
      </c>
      <c r="R215">
        <v>47618.6</v>
      </c>
      <c r="S215">
        <f t="shared" si="3"/>
        <v>158320.206063486</v>
      </c>
    </row>
    <row r="216" spans="1:19" x14ac:dyDescent="0.25">
      <c r="A216" t="s">
        <v>27</v>
      </c>
      <c r="B216" t="str">
        <f>"02819180"</f>
        <v>02819180</v>
      </c>
      <c r="C216" t="s">
        <v>254</v>
      </c>
      <c r="D216">
        <v>7</v>
      </c>
      <c r="E216">
        <v>52</v>
      </c>
      <c r="F216">
        <v>12.4427419664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1.6801033963000001</v>
      </c>
      <c r="Q216">
        <v>1.6801033963000001</v>
      </c>
      <c r="R216">
        <v>0</v>
      </c>
      <c r="S216">
        <f t="shared" si="3"/>
        <v>14.1228453627</v>
      </c>
    </row>
    <row r="217" spans="1:19" x14ac:dyDescent="0.25">
      <c r="A217" t="s">
        <v>29</v>
      </c>
      <c r="B217" t="str">
        <f>"27184145"</f>
        <v>27184145</v>
      </c>
      <c r="C217" t="s">
        <v>255</v>
      </c>
      <c r="D217">
        <v>14</v>
      </c>
      <c r="E217">
        <v>115.21450342523001</v>
      </c>
      <c r="F217">
        <v>118.51675785984</v>
      </c>
      <c r="G217">
        <v>0</v>
      </c>
      <c r="H217">
        <v>0</v>
      </c>
      <c r="I217">
        <v>0</v>
      </c>
      <c r="J217">
        <v>1</v>
      </c>
      <c r="K217">
        <v>1</v>
      </c>
      <c r="L217">
        <v>99.558899999999994</v>
      </c>
      <c r="M217">
        <v>133.358</v>
      </c>
      <c r="N217">
        <v>275</v>
      </c>
      <c r="O217">
        <v>216.66666221618999</v>
      </c>
      <c r="P217">
        <v>136.9284268015</v>
      </c>
      <c r="Q217">
        <v>353.59508901769999</v>
      </c>
      <c r="R217">
        <v>1221.1300000000001</v>
      </c>
      <c r="S217">
        <f t="shared" si="3"/>
        <v>1826.5998468775401</v>
      </c>
    </row>
    <row r="218" spans="1:19" x14ac:dyDescent="0.25">
      <c r="A218" t="s">
        <v>29</v>
      </c>
      <c r="B218" t="str">
        <f>"25271121"</f>
        <v>25271121</v>
      </c>
      <c r="C218" t="s">
        <v>256</v>
      </c>
      <c r="D218">
        <v>136</v>
      </c>
      <c r="E218">
        <v>1338.6155146210001</v>
      </c>
      <c r="F218">
        <v>1187.6789716987</v>
      </c>
      <c r="G218">
        <v>0</v>
      </c>
      <c r="H218">
        <v>0</v>
      </c>
      <c r="I218">
        <v>0</v>
      </c>
      <c r="J218">
        <v>1.4</v>
      </c>
      <c r="K218">
        <v>1</v>
      </c>
      <c r="L218">
        <v>291.51600000000002</v>
      </c>
      <c r="M218">
        <v>353.87700000000001</v>
      </c>
      <c r="N218">
        <v>125</v>
      </c>
      <c r="O218">
        <v>125</v>
      </c>
      <c r="P218">
        <v>396.67241187510001</v>
      </c>
      <c r="Q218">
        <v>521.67241187510001</v>
      </c>
      <c r="R218">
        <v>1584.01</v>
      </c>
      <c r="S218">
        <f t="shared" si="3"/>
        <v>3647.2383835738001</v>
      </c>
    </row>
    <row r="219" spans="1:19" x14ac:dyDescent="0.25">
      <c r="A219" t="s">
        <v>63</v>
      </c>
      <c r="B219" t="str">
        <f>"00010669"</f>
        <v>00010669</v>
      </c>
      <c r="C219" t="s">
        <v>257</v>
      </c>
      <c r="D219">
        <v>99</v>
      </c>
      <c r="E219">
        <v>1412.5559476967001</v>
      </c>
      <c r="F219">
        <v>1127.7224789647</v>
      </c>
      <c r="G219">
        <v>0</v>
      </c>
      <c r="H219">
        <v>0</v>
      </c>
      <c r="I219">
        <v>0</v>
      </c>
      <c r="J219">
        <v>4.5</v>
      </c>
      <c r="K219">
        <v>0</v>
      </c>
      <c r="L219">
        <v>995.94899999999996</v>
      </c>
      <c r="M219">
        <v>896.35400000000004</v>
      </c>
      <c r="N219">
        <v>0</v>
      </c>
      <c r="O219">
        <v>0</v>
      </c>
      <c r="P219">
        <v>831.48317084730002</v>
      </c>
      <c r="Q219">
        <v>831.48317084730002</v>
      </c>
      <c r="R219">
        <v>9490.7800000000007</v>
      </c>
      <c r="S219">
        <f t="shared" si="3"/>
        <v>12346.339649812002</v>
      </c>
    </row>
    <row r="220" spans="1:19" x14ac:dyDescent="0.25">
      <c r="A220" t="s">
        <v>63</v>
      </c>
      <c r="B220" t="str">
        <f>"47718684"</f>
        <v>47718684</v>
      </c>
      <c r="C220" t="s">
        <v>258</v>
      </c>
      <c r="D220">
        <v>51</v>
      </c>
      <c r="E220">
        <v>655.24690693549996</v>
      </c>
      <c r="F220">
        <v>536.1833723981</v>
      </c>
      <c r="G220">
        <v>0</v>
      </c>
      <c r="H220">
        <v>0</v>
      </c>
      <c r="I220">
        <v>0</v>
      </c>
      <c r="J220">
        <v>2</v>
      </c>
      <c r="K220">
        <v>0</v>
      </c>
      <c r="L220">
        <v>312.47800000000001</v>
      </c>
      <c r="M220">
        <v>281.23</v>
      </c>
      <c r="N220">
        <v>10</v>
      </c>
      <c r="O220">
        <v>10</v>
      </c>
      <c r="P220">
        <v>762.28391221070001</v>
      </c>
      <c r="Q220">
        <v>772.28391221070001</v>
      </c>
      <c r="R220">
        <v>2532.5100000000002</v>
      </c>
      <c r="S220">
        <f t="shared" si="3"/>
        <v>4122.2072846088004</v>
      </c>
    </row>
    <row r="221" spans="1:19" x14ac:dyDescent="0.25">
      <c r="A221" t="s">
        <v>27</v>
      </c>
      <c r="B221" t="str">
        <f>"00025950"</f>
        <v>00025950</v>
      </c>
      <c r="C221" t="s">
        <v>259</v>
      </c>
      <c r="D221">
        <v>11</v>
      </c>
      <c r="E221">
        <v>129.95611666667</v>
      </c>
      <c r="F221">
        <v>104.46429027720001</v>
      </c>
      <c r="G221">
        <v>0</v>
      </c>
      <c r="H221">
        <v>0</v>
      </c>
      <c r="I221">
        <v>0</v>
      </c>
      <c r="J221">
        <v>1</v>
      </c>
      <c r="K221">
        <v>0</v>
      </c>
      <c r="L221">
        <v>85.808199999999999</v>
      </c>
      <c r="M221">
        <v>77.227400000000003</v>
      </c>
      <c r="N221">
        <v>0</v>
      </c>
      <c r="O221">
        <v>0</v>
      </c>
      <c r="P221">
        <v>279.46419868829997</v>
      </c>
      <c r="Q221">
        <v>279.46419868829997</v>
      </c>
      <c r="R221">
        <v>191.44300000000001</v>
      </c>
      <c r="S221">
        <f t="shared" si="3"/>
        <v>652.59888896550001</v>
      </c>
    </row>
    <row r="222" spans="1:19" x14ac:dyDescent="0.25">
      <c r="A222" t="s">
        <v>29</v>
      </c>
      <c r="B222" t="str">
        <f>"60109807"</f>
        <v>60109807</v>
      </c>
      <c r="C222" t="s">
        <v>260</v>
      </c>
      <c r="D222">
        <v>31</v>
      </c>
      <c r="E222">
        <v>259.23567214871002</v>
      </c>
      <c r="F222">
        <v>263.06758075165999</v>
      </c>
      <c r="G222">
        <v>0</v>
      </c>
      <c r="H222">
        <v>0</v>
      </c>
      <c r="I222">
        <v>0</v>
      </c>
      <c r="J222">
        <v>1</v>
      </c>
      <c r="K222">
        <v>0</v>
      </c>
      <c r="L222">
        <v>385.47199999999998</v>
      </c>
      <c r="M222">
        <v>346.92500000000001</v>
      </c>
      <c r="N222">
        <v>25</v>
      </c>
      <c r="O222">
        <v>25</v>
      </c>
      <c r="P222">
        <v>132.8961786504</v>
      </c>
      <c r="Q222">
        <v>157.8961786504</v>
      </c>
      <c r="R222">
        <v>1457.92</v>
      </c>
      <c r="S222">
        <f t="shared" si="3"/>
        <v>2225.8087594020599</v>
      </c>
    </row>
    <row r="223" spans="1:19" x14ac:dyDescent="0.25">
      <c r="A223" t="s">
        <v>27</v>
      </c>
      <c r="B223" t="str">
        <f>"00025615"</f>
        <v>00025615</v>
      </c>
      <c r="C223" t="s">
        <v>261</v>
      </c>
      <c r="D223">
        <v>53</v>
      </c>
      <c r="E223">
        <v>889.80206165169</v>
      </c>
      <c r="F223">
        <v>792.63979348722</v>
      </c>
      <c r="G223">
        <v>0</v>
      </c>
      <c r="H223">
        <v>0</v>
      </c>
      <c r="I223">
        <v>0</v>
      </c>
      <c r="J223">
        <v>2</v>
      </c>
      <c r="K223">
        <v>0</v>
      </c>
      <c r="L223">
        <v>633.52099999999996</v>
      </c>
      <c r="M223">
        <v>570.16899999999998</v>
      </c>
      <c r="N223">
        <v>0</v>
      </c>
      <c r="O223">
        <v>0</v>
      </c>
      <c r="P223">
        <v>244.11902348780001</v>
      </c>
      <c r="Q223">
        <v>244.11902348780001</v>
      </c>
      <c r="R223">
        <v>1966.42</v>
      </c>
      <c r="S223">
        <f t="shared" si="3"/>
        <v>3573.3478169750201</v>
      </c>
    </row>
    <row r="224" spans="1:19" x14ac:dyDescent="0.25">
      <c r="A224" t="s">
        <v>29</v>
      </c>
      <c r="B224" t="str">
        <f>"00020702"</f>
        <v>00020702</v>
      </c>
      <c r="C224" t="s">
        <v>262</v>
      </c>
      <c r="D224">
        <v>199</v>
      </c>
      <c r="E224">
        <v>2759.5284018175998</v>
      </c>
      <c r="F224">
        <v>2741.9743136961001</v>
      </c>
      <c r="G224">
        <v>0</v>
      </c>
      <c r="H224">
        <v>0</v>
      </c>
      <c r="I224">
        <v>0</v>
      </c>
      <c r="J224">
        <v>2</v>
      </c>
      <c r="K224">
        <v>0</v>
      </c>
      <c r="L224">
        <v>423.69900000000001</v>
      </c>
      <c r="M224">
        <v>381.32900000000001</v>
      </c>
      <c r="N224">
        <v>0</v>
      </c>
      <c r="O224">
        <v>0</v>
      </c>
      <c r="P224">
        <v>480.95059849400002</v>
      </c>
      <c r="Q224">
        <v>480.95059849400002</v>
      </c>
      <c r="R224">
        <v>1810.11</v>
      </c>
      <c r="S224">
        <f t="shared" si="3"/>
        <v>5414.3639121901006</v>
      </c>
    </row>
    <row r="225" spans="1:19" x14ac:dyDescent="0.25">
      <c r="A225" t="s">
        <v>29</v>
      </c>
      <c r="B225" t="str">
        <f>"00027049"</f>
        <v>00027049</v>
      </c>
      <c r="C225" t="s">
        <v>263</v>
      </c>
      <c r="D225">
        <v>79</v>
      </c>
      <c r="E225">
        <v>908.11179863388998</v>
      </c>
      <c r="F225">
        <v>870.42888687124002</v>
      </c>
      <c r="G225">
        <v>0</v>
      </c>
      <c r="H225">
        <v>0</v>
      </c>
      <c r="I225">
        <v>0</v>
      </c>
      <c r="J225">
        <v>1</v>
      </c>
      <c r="K225">
        <v>0</v>
      </c>
      <c r="L225">
        <v>239.85900000000001</v>
      </c>
      <c r="M225">
        <v>215.87299999999999</v>
      </c>
      <c r="N225">
        <v>50</v>
      </c>
      <c r="O225">
        <v>50</v>
      </c>
      <c r="P225">
        <v>462.8894869833</v>
      </c>
      <c r="Q225">
        <v>512.8894869833</v>
      </c>
      <c r="R225">
        <v>1849.82</v>
      </c>
      <c r="S225">
        <f t="shared" si="3"/>
        <v>3449.0113738545397</v>
      </c>
    </row>
    <row r="226" spans="1:19" x14ac:dyDescent="0.25">
      <c r="A226" t="s">
        <v>29</v>
      </c>
      <c r="B226" t="str">
        <f>"26722861"</f>
        <v>26722861</v>
      </c>
      <c r="C226" t="s">
        <v>264</v>
      </c>
      <c r="D226">
        <v>68</v>
      </c>
      <c r="E226">
        <v>549.96940000324003</v>
      </c>
      <c r="F226">
        <v>515.76993369262004</v>
      </c>
      <c r="G226">
        <v>0</v>
      </c>
      <c r="H226">
        <v>0</v>
      </c>
      <c r="I226">
        <v>0</v>
      </c>
      <c r="J226">
        <v>1</v>
      </c>
      <c r="K226">
        <v>0</v>
      </c>
      <c r="L226">
        <v>205.71899999999999</v>
      </c>
      <c r="M226">
        <v>185.14699999999999</v>
      </c>
      <c r="N226">
        <v>50</v>
      </c>
      <c r="O226">
        <v>10</v>
      </c>
      <c r="P226">
        <v>440.96413766120003</v>
      </c>
      <c r="Q226">
        <v>450.96413766120003</v>
      </c>
      <c r="R226">
        <v>1847.12</v>
      </c>
      <c r="S226">
        <f t="shared" si="3"/>
        <v>2999.00107135382</v>
      </c>
    </row>
    <row r="227" spans="1:19" x14ac:dyDescent="0.25">
      <c r="A227" t="s">
        <v>29</v>
      </c>
      <c r="B227" t="str">
        <f>"60193697"</f>
        <v>60193697</v>
      </c>
      <c r="C227" t="s">
        <v>265</v>
      </c>
      <c r="D227">
        <v>88</v>
      </c>
      <c r="E227">
        <v>1246.0764375440001</v>
      </c>
      <c r="F227">
        <v>1338.4069078998</v>
      </c>
      <c r="G227">
        <v>0</v>
      </c>
      <c r="H227">
        <v>0</v>
      </c>
      <c r="I227">
        <v>0</v>
      </c>
      <c r="J227">
        <v>1</v>
      </c>
      <c r="K227">
        <v>0</v>
      </c>
      <c r="L227">
        <v>357.048</v>
      </c>
      <c r="M227">
        <v>321.34300000000002</v>
      </c>
      <c r="N227">
        <v>120</v>
      </c>
      <c r="O227">
        <v>111.66666650772</v>
      </c>
      <c r="P227">
        <v>215.89328642929999</v>
      </c>
      <c r="Q227">
        <v>327.55995293709998</v>
      </c>
      <c r="R227">
        <v>1179.24</v>
      </c>
      <c r="S227">
        <f t="shared" si="3"/>
        <v>3166.5498608368998</v>
      </c>
    </row>
    <row r="228" spans="1:19" x14ac:dyDescent="0.25">
      <c r="A228" t="s">
        <v>29</v>
      </c>
      <c r="B228" t="str">
        <f>"00027022"</f>
        <v>00027022</v>
      </c>
      <c r="C228" t="s">
        <v>266</v>
      </c>
      <c r="D228">
        <v>48</v>
      </c>
      <c r="E228">
        <v>502.06166130912999</v>
      </c>
      <c r="F228">
        <v>501.76499718060001</v>
      </c>
      <c r="G228">
        <v>0</v>
      </c>
      <c r="H228">
        <v>0</v>
      </c>
      <c r="I228">
        <v>0</v>
      </c>
      <c r="J228">
        <v>1.83</v>
      </c>
      <c r="K228">
        <v>0</v>
      </c>
      <c r="L228">
        <v>312.08600000000001</v>
      </c>
      <c r="M228">
        <v>280.87700000000001</v>
      </c>
      <c r="N228">
        <v>40</v>
      </c>
      <c r="O228">
        <v>29.313131332396999</v>
      </c>
      <c r="P228">
        <v>149.06717384000001</v>
      </c>
      <c r="Q228">
        <v>178.3803051724</v>
      </c>
      <c r="R228">
        <v>1820.3</v>
      </c>
      <c r="S228">
        <f t="shared" si="3"/>
        <v>2781.3223023529999</v>
      </c>
    </row>
    <row r="229" spans="1:19" x14ac:dyDescent="0.25">
      <c r="A229" t="s">
        <v>27</v>
      </c>
      <c r="B229" t="str">
        <f>"25052063"</f>
        <v>25052063</v>
      </c>
      <c r="C229" t="s">
        <v>267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P229">
        <v>0</v>
      </c>
      <c r="Q229">
        <v>0</v>
      </c>
      <c r="R229">
        <v>0</v>
      </c>
      <c r="S229">
        <f t="shared" si="3"/>
        <v>0</v>
      </c>
    </row>
    <row r="230" spans="1:19" x14ac:dyDescent="0.25">
      <c r="A230" t="s">
        <v>27</v>
      </c>
      <c r="B230" t="str">
        <f>"45773009"</f>
        <v>45773009</v>
      </c>
      <c r="C230" t="s">
        <v>268</v>
      </c>
      <c r="D230">
        <v>110</v>
      </c>
      <c r="E230">
        <v>1931.3536811014999</v>
      </c>
      <c r="F230">
        <v>1443.6335964041</v>
      </c>
      <c r="G230">
        <v>0</v>
      </c>
      <c r="H230">
        <v>0</v>
      </c>
      <c r="I230">
        <v>0</v>
      </c>
      <c r="J230">
        <v>1</v>
      </c>
      <c r="K230">
        <v>0</v>
      </c>
      <c r="L230">
        <v>308.34100000000001</v>
      </c>
      <c r="M230">
        <v>277.50700000000001</v>
      </c>
      <c r="N230">
        <v>0</v>
      </c>
      <c r="O230">
        <v>0</v>
      </c>
      <c r="P230">
        <v>164.188104407</v>
      </c>
      <c r="Q230">
        <v>164.188104407</v>
      </c>
      <c r="R230">
        <v>583.63300000000004</v>
      </c>
      <c r="S230">
        <f t="shared" si="3"/>
        <v>2468.9617008110999</v>
      </c>
    </row>
    <row r="231" spans="1:19" x14ac:dyDescent="0.25">
      <c r="A231" t="s">
        <v>29</v>
      </c>
      <c r="B231" t="str">
        <f>"00027006"</f>
        <v>00027006</v>
      </c>
      <c r="C231" t="s">
        <v>269</v>
      </c>
      <c r="D231">
        <v>633</v>
      </c>
      <c r="E231">
        <v>11539.383375652</v>
      </c>
      <c r="F231">
        <v>11343.872145833</v>
      </c>
      <c r="G231">
        <v>0</v>
      </c>
      <c r="H231">
        <v>0</v>
      </c>
      <c r="I231">
        <v>0</v>
      </c>
      <c r="J231">
        <v>9</v>
      </c>
      <c r="K231">
        <v>2.4500000000000002</v>
      </c>
      <c r="L231">
        <v>2306.63</v>
      </c>
      <c r="M231">
        <v>2351.9299999999998</v>
      </c>
      <c r="N231">
        <v>35</v>
      </c>
      <c r="O231">
        <v>35</v>
      </c>
      <c r="P231">
        <v>1219.9860799578</v>
      </c>
      <c r="Q231">
        <v>1254.9860799578</v>
      </c>
      <c r="R231">
        <v>6245.38</v>
      </c>
      <c r="S231">
        <f t="shared" si="3"/>
        <v>21196.1682257908</v>
      </c>
    </row>
    <row r="232" spans="1:19" x14ac:dyDescent="0.25">
      <c r="A232" t="s">
        <v>27</v>
      </c>
      <c r="B232" t="str">
        <f>"00027073"</f>
        <v>00027073</v>
      </c>
      <c r="C232" t="s">
        <v>270</v>
      </c>
      <c r="D232">
        <v>222</v>
      </c>
      <c r="E232">
        <v>4755.4581478118998</v>
      </c>
      <c r="F232">
        <v>4500.5935659976003</v>
      </c>
      <c r="G232">
        <v>0</v>
      </c>
      <c r="H232">
        <v>0</v>
      </c>
      <c r="I232">
        <v>0</v>
      </c>
      <c r="J232">
        <v>4.37</v>
      </c>
      <c r="K232">
        <v>0</v>
      </c>
      <c r="L232">
        <v>1626.54</v>
      </c>
      <c r="M232">
        <v>1463.89</v>
      </c>
      <c r="N232">
        <v>475</v>
      </c>
      <c r="O232">
        <v>475</v>
      </c>
      <c r="P232">
        <v>453.31289762429998</v>
      </c>
      <c r="Q232">
        <v>928.31289762430004</v>
      </c>
      <c r="R232">
        <v>7855.73</v>
      </c>
      <c r="S232">
        <f t="shared" si="3"/>
        <v>14748.5264636219</v>
      </c>
    </row>
    <row r="233" spans="1:19" x14ac:dyDescent="0.25">
      <c r="A233" t="s">
        <v>63</v>
      </c>
      <c r="B233" t="str">
        <f>"26232511"</f>
        <v>26232511</v>
      </c>
      <c r="C233" t="s">
        <v>271</v>
      </c>
      <c r="D233">
        <v>17</v>
      </c>
      <c r="E233">
        <v>167.38523732811001</v>
      </c>
      <c r="F233">
        <v>131.61888655293001</v>
      </c>
      <c r="G233">
        <v>0</v>
      </c>
      <c r="H233">
        <v>0</v>
      </c>
      <c r="I233">
        <v>0</v>
      </c>
      <c r="J233">
        <v>2</v>
      </c>
      <c r="K233">
        <v>0</v>
      </c>
      <c r="L233">
        <v>559.57399999999996</v>
      </c>
      <c r="M233">
        <v>503.61700000000002</v>
      </c>
      <c r="N233">
        <v>10</v>
      </c>
      <c r="O233">
        <v>5</v>
      </c>
      <c r="P233">
        <v>329.42627343689998</v>
      </c>
      <c r="Q233">
        <v>334.42627343689998</v>
      </c>
      <c r="R233">
        <v>2844.17</v>
      </c>
      <c r="S233">
        <f t="shared" si="3"/>
        <v>3813.83215998983</v>
      </c>
    </row>
    <row r="234" spans="1:19" x14ac:dyDescent="0.25">
      <c r="A234" t="s">
        <v>29</v>
      </c>
      <c r="B234" t="str">
        <f>"00027162"</f>
        <v>00027162</v>
      </c>
      <c r="C234" t="s">
        <v>272</v>
      </c>
      <c r="D234">
        <v>424</v>
      </c>
      <c r="E234">
        <v>12781.152587606</v>
      </c>
      <c r="F234">
        <v>12623.654482507</v>
      </c>
      <c r="G234">
        <v>0</v>
      </c>
      <c r="H234">
        <v>0</v>
      </c>
      <c r="I234">
        <v>0</v>
      </c>
      <c r="J234">
        <v>7</v>
      </c>
      <c r="K234">
        <v>0.75</v>
      </c>
      <c r="L234">
        <v>2190.9</v>
      </c>
      <c r="M234">
        <v>2074.9699999999998</v>
      </c>
      <c r="N234">
        <v>200</v>
      </c>
      <c r="O234">
        <v>86.153846740722997</v>
      </c>
      <c r="P234">
        <v>938.63176494870004</v>
      </c>
      <c r="Q234">
        <v>1024.7856116894</v>
      </c>
      <c r="R234">
        <v>3125.02</v>
      </c>
      <c r="S234">
        <f t="shared" si="3"/>
        <v>18848.430094196399</v>
      </c>
    </row>
    <row r="235" spans="1:19" x14ac:dyDescent="0.25">
      <c r="A235" t="s">
        <v>27</v>
      </c>
      <c r="B235" t="str">
        <f>"00020711"</f>
        <v>00020711</v>
      </c>
      <c r="C235" t="s">
        <v>273</v>
      </c>
      <c r="D235">
        <v>176</v>
      </c>
      <c r="E235">
        <v>2026.1506649903999</v>
      </c>
      <c r="F235">
        <v>1898.8847271387999</v>
      </c>
      <c r="G235">
        <v>0</v>
      </c>
      <c r="H235">
        <v>0</v>
      </c>
      <c r="I235">
        <v>0</v>
      </c>
      <c r="J235">
        <v>2</v>
      </c>
      <c r="K235">
        <v>0</v>
      </c>
      <c r="L235">
        <v>683.97699999999998</v>
      </c>
      <c r="M235">
        <v>615.57899999999995</v>
      </c>
      <c r="N235">
        <v>0</v>
      </c>
      <c r="O235">
        <v>0</v>
      </c>
      <c r="P235">
        <v>733.74315576519996</v>
      </c>
      <c r="Q235">
        <v>733.74315576519996</v>
      </c>
      <c r="R235">
        <v>5128.43</v>
      </c>
      <c r="S235">
        <f t="shared" si="3"/>
        <v>8376.6368829040002</v>
      </c>
    </row>
    <row r="236" spans="1:19" x14ac:dyDescent="0.25">
      <c r="A236" t="s">
        <v>29</v>
      </c>
      <c r="B236" t="str">
        <f>"00027031"</f>
        <v>00027031</v>
      </c>
      <c r="C236" t="s">
        <v>274</v>
      </c>
      <c r="D236">
        <v>81</v>
      </c>
      <c r="E236">
        <v>433.52933759604002</v>
      </c>
      <c r="F236">
        <v>397.60809156544002</v>
      </c>
      <c r="G236">
        <v>0</v>
      </c>
      <c r="H236">
        <v>0</v>
      </c>
      <c r="I236">
        <v>0</v>
      </c>
      <c r="J236">
        <v>2</v>
      </c>
      <c r="K236">
        <v>0</v>
      </c>
      <c r="L236">
        <v>333.63400000000001</v>
      </c>
      <c r="M236">
        <v>300.27100000000002</v>
      </c>
      <c r="N236">
        <v>100</v>
      </c>
      <c r="O236">
        <v>90</v>
      </c>
      <c r="P236">
        <v>304.20372119929999</v>
      </c>
      <c r="Q236">
        <v>394.20372119929999</v>
      </c>
      <c r="R236">
        <v>2356.48</v>
      </c>
      <c r="S236">
        <f t="shared" si="3"/>
        <v>3448.5628127647401</v>
      </c>
    </row>
    <row r="237" spans="1:19" x14ac:dyDescent="0.25">
      <c r="A237" t="s">
        <v>29</v>
      </c>
      <c r="B237" t="str">
        <f>"00027014"</f>
        <v>00027014</v>
      </c>
      <c r="C237" t="s">
        <v>275</v>
      </c>
      <c r="D237">
        <v>370</v>
      </c>
      <c r="E237">
        <v>9767.5453649867995</v>
      </c>
      <c r="F237">
        <v>9775.6497673386002</v>
      </c>
      <c r="G237">
        <v>0</v>
      </c>
      <c r="H237">
        <v>0</v>
      </c>
      <c r="I237">
        <v>0</v>
      </c>
      <c r="J237">
        <v>7</v>
      </c>
      <c r="K237">
        <v>0.9</v>
      </c>
      <c r="L237">
        <v>1756.27</v>
      </c>
      <c r="M237">
        <v>1679.88</v>
      </c>
      <c r="N237">
        <v>120</v>
      </c>
      <c r="O237">
        <v>107.17948698997</v>
      </c>
      <c r="P237">
        <v>556.15622677249996</v>
      </c>
      <c r="Q237">
        <v>663.33571376249995</v>
      </c>
      <c r="R237">
        <v>2857.49</v>
      </c>
      <c r="S237">
        <f t="shared" si="3"/>
        <v>14976.355481101102</v>
      </c>
    </row>
    <row r="238" spans="1:19" x14ac:dyDescent="0.25">
      <c r="A238" t="s">
        <v>27</v>
      </c>
      <c r="B238" t="str">
        <f>"25881515"</f>
        <v>25881515</v>
      </c>
      <c r="C238" t="s">
        <v>276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P238">
        <v>0</v>
      </c>
      <c r="Q238">
        <v>0</v>
      </c>
      <c r="R238">
        <v>0</v>
      </c>
      <c r="S238">
        <f t="shared" si="3"/>
        <v>0</v>
      </c>
    </row>
    <row r="239" spans="1:19" x14ac:dyDescent="0.25">
      <c r="A239" t="s">
        <v>277</v>
      </c>
      <c r="B239" t="str">
        <f>"00263338"</f>
        <v>00263338</v>
      </c>
      <c r="C239" t="s">
        <v>278</v>
      </c>
      <c r="D239">
        <v>4</v>
      </c>
      <c r="E239">
        <v>23.274020944804999</v>
      </c>
      <c r="F239">
        <v>14.910933199317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P239">
        <v>0</v>
      </c>
      <c r="Q239">
        <v>0</v>
      </c>
      <c r="R239">
        <v>0</v>
      </c>
      <c r="S239">
        <f t="shared" si="3"/>
        <v>14.910933199317</v>
      </c>
    </row>
    <row r="240" spans="1:19" x14ac:dyDescent="0.25">
      <c r="A240" t="s">
        <v>27</v>
      </c>
      <c r="B240" t="str">
        <f>"49777513"</f>
        <v>49777513</v>
      </c>
      <c r="C240" t="s">
        <v>279</v>
      </c>
      <c r="D240">
        <v>4454</v>
      </c>
      <c r="E240">
        <v>66709.555766118996</v>
      </c>
      <c r="F240">
        <v>56984.152232492997</v>
      </c>
      <c r="G240">
        <v>0</v>
      </c>
      <c r="H240">
        <v>0</v>
      </c>
      <c r="I240">
        <v>0</v>
      </c>
      <c r="J240">
        <v>19.010000000000002</v>
      </c>
      <c r="K240">
        <v>3.58</v>
      </c>
      <c r="L240">
        <v>8998.1200000000008</v>
      </c>
      <c r="M240">
        <v>8843.0400000000009</v>
      </c>
      <c r="N240">
        <v>610</v>
      </c>
      <c r="O240">
        <v>567.04761958122003</v>
      </c>
      <c r="P240">
        <v>3511.7521190242001</v>
      </c>
      <c r="Q240">
        <v>4078.7997386053999</v>
      </c>
      <c r="R240">
        <v>24231.1</v>
      </c>
      <c r="S240">
        <f t="shared" si="3"/>
        <v>94137.091971098387</v>
      </c>
    </row>
    <row r="241" spans="1:19" x14ac:dyDescent="0.25">
      <c r="A241" t="s">
        <v>277</v>
      </c>
      <c r="B241" t="str">
        <f>"00228745"</f>
        <v>00228745</v>
      </c>
      <c r="C241" t="s">
        <v>280</v>
      </c>
      <c r="D241">
        <v>65</v>
      </c>
      <c r="E241">
        <v>444.00654443330001</v>
      </c>
      <c r="F241">
        <v>384.73689540261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36.134099999999997</v>
      </c>
      <c r="M241">
        <v>32.520699999999998</v>
      </c>
      <c r="N241">
        <v>0</v>
      </c>
      <c r="P241">
        <v>0</v>
      </c>
      <c r="Q241">
        <v>0</v>
      </c>
      <c r="R241">
        <v>0</v>
      </c>
      <c r="S241">
        <f t="shared" si="3"/>
        <v>417.25759540260998</v>
      </c>
    </row>
    <row r="242" spans="1:19" x14ac:dyDescent="0.25">
      <c r="A242" t="s">
        <v>65</v>
      </c>
      <c r="B242" t="str">
        <f>"71009396"</f>
        <v>71009396</v>
      </c>
      <c r="C242" t="s">
        <v>281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9.1775648024999992</v>
      </c>
      <c r="Q242">
        <v>9.1775648024999992</v>
      </c>
      <c r="R242">
        <v>0</v>
      </c>
      <c r="S242">
        <f t="shared" si="3"/>
        <v>9.1775648024999992</v>
      </c>
    </row>
    <row r="243" spans="1:19" x14ac:dyDescent="0.25">
      <c r="A243" t="s">
        <v>65</v>
      </c>
      <c r="B243" t="str">
        <f>"71009361"</f>
        <v>71009361</v>
      </c>
      <c r="C243" t="s">
        <v>282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P243">
        <v>0</v>
      </c>
      <c r="Q243">
        <v>0</v>
      </c>
      <c r="R243">
        <v>0</v>
      </c>
      <c r="S243">
        <f t="shared" si="3"/>
        <v>0</v>
      </c>
    </row>
    <row r="244" spans="1:19" x14ac:dyDescent="0.25">
      <c r="A244" t="s">
        <v>29</v>
      </c>
      <c r="B244" t="str">
        <f>"26296080"</f>
        <v>26296080</v>
      </c>
      <c r="C244" t="s">
        <v>283</v>
      </c>
      <c r="D244">
        <v>99</v>
      </c>
      <c r="E244">
        <v>491.18090215319</v>
      </c>
      <c r="F244">
        <v>462.40001055470998</v>
      </c>
      <c r="G244">
        <v>0</v>
      </c>
      <c r="H244">
        <v>0</v>
      </c>
      <c r="I244">
        <v>0</v>
      </c>
      <c r="J244">
        <v>1</v>
      </c>
      <c r="K244">
        <v>0.3</v>
      </c>
      <c r="L244">
        <v>305.01400000000001</v>
      </c>
      <c r="M244">
        <v>314.72699999999998</v>
      </c>
      <c r="N244">
        <v>145</v>
      </c>
      <c r="O244">
        <v>125.23809432983001</v>
      </c>
      <c r="P244">
        <v>238.02864867599999</v>
      </c>
      <c r="Q244">
        <v>363.26674300579998</v>
      </c>
      <c r="R244">
        <v>1578.16</v>
      </c>
      <c r="S244">
        <f t="shared" si="3"/>
        <v>2718.5537535605099</v>
      </c>
    </row>
    <row r="245" spans="1:19" x14ac:dyDescent="0.25">
      <c r="A245" t="s">
        <v>27</v>
      </c>
      <c r="B245" t="str">
        <f>"60459263"</f>
        <v>60459263</v>
      </c>
      <c r="C245" t="s">
        <v>284</v>
      </c>
      <c r="D245">
        <v>46</v>
      </c>
      <c r="E245">
        <v>568.85309212760001</v>
      </c>
      <c r="F245">
        <v>477.56741350354002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9.0663300000000007</v>
      </c>
      <c r="M245">
        <v>8.1597000000000008</v>
      </c>
      <c r="N245">
        <v>0</v>
      </c>
      <c r="P245">
        <v>0</v>
      </c>
      <c r="Q245">
        <v>0</v>
      </c>
      <c r="R245">
        <v>0</v>
      </c>
      <c r="S245">
        <f t="shared" si="3"/>
        <v>485.72711350354001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S3:S4"/>
    <mergeCell ref="A3:C3"/>
    <mergeCell ref="D3:F3"/>
    <mergeCell ref="G3:I3"/>
    <mergeCell ref="J3:M3"/>
    <mergeCell ref="N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567"/>
  <sheetViews>
    <sheetView workbookViewId="0">
      <pane xSplit="5" ySplit="4" topLeftCell="F5" activePane="bottomRight" state="frozen"/>
      <selection pane="topRight"/>
      <selection pane="bottomLeft"/>
      <selection pane="bottomRight" activeCell="A5" sqref="A5"/>
    </sheetView>
  </sheetViews>
  <sheetFormatPr defaultRowHeight="15" x14ac:dyDescent="0.25"/>
  <cols>
    <col min="1" max="1" width="13.42578125" customWidth="1"/>
    <col min="2" max="2" width="16.85546875" customWidth="1"/>
    <col min="3" max="3" width="73" customWidth="1"/>
    <col min="4" max="4" width="12" customWidth="1"/>
    <col min="5" max="5" width="53" customWidth="1"/>
    <col min="6" max="6" width="14.140625" customWidth="1"/>
    <col min="7" max="7" width="10" customWidth="1"/>
    <col min="8" max="8" width="12.5703125" customWidth="1"/>
    <col min="9" max="9" width="11.7109375" customWidth="1"/>
    <col min="10" max="10" width="14" customWidth="1"/>
    <col min="11" max="11" width="11.7109375" customWidth="1"/>
    <col min="12" max="12" width="11.28515625" customWidth="1"/>
    <col min="13" max="13" width="12.140625" customWidth="1"/>
    <col min="14" max="14" width="13.28515625" customWidth="1"/>
    <col min="15" max="16" width="12.140625" customWidth="1"/>
    <col min="17" max="17" width="11.28515625" customWidth="1"/>
    <col min="18" max="19" width="20.28515625" customWidth="1"/>
    <col min="20" max="20" width="14.7109375" customWidth="1"/>
    <col min="21" max="21" width="15.28515625" customWidth="1"/>
  </cols>
  <sheetData>
    <row r="1" spans="1:44" ht="18.75" x14ac:dyDescent="0.3">
      <c r="A1" s="1" t="s">
        <v>0</v>
      </c>
    </row>
    <row r="2" spans="1:44" ht="15.75" x14ac:dyDescent="0.25">
      <c r="A2" s="2" t="s">
        <v>1</v>
      </c>
    </row>
    <row r="3" spans="1:44" x14ac:dyDescent="0.25">
      <c r="A3" s="5" t="s">
        <v>2</v>
      </c>
      <c r="B3" s="6"/>
      <c r="C3" s="6"/>
      <c r="D3" s="6"/>
      <c r="E3" s="6"/>
      <c r="F3" s="5" t="s">
        <v>3</v>
      </c>
      <c r="G3" s="6"/>
      <c r="H3" s="6"/>
      <c r="I3" s="5" t="s">
        <v>4</v>
      </c>
      <c r="J3" s="6"/>
      <c r="K3" s="6"/>
      <c r="L3" s="5" t="s">
        <v>5</v>
      </c>
      <c r="M3" s="6"/>
      <c r="N3" s="6"/>
      <c r="O3" s="6"/>
      <c r="P3" s="5" t="s">
        <v>6</v>
      </c>
      <c r="Q3" s="6"/>
      <c r="R3" s="6"/>
      <c r="S3" s="6"/>
      <c r="T3" s="3" t="s">
        <v>7</v>
      </c>
      <c r="U3" s="5" t="s">
        <v>8</v>
      </c>
    </row>
    <row r="4" spans="1:44" ht="120" customHeight="1" x14ac:dyDescent="0.25">
      <c r="A4" s="4" t="s">
        <v>9</v>
      </c>
      <c r="B4" s="4" t="s">
        <v>10</v>
      </c>
      <c r="C4" s="4" t="s">
        <v>11</v>
      </c>
      <c r="D4" s="4" t="s">
        <v>285</v>
      </c>
      <c r="E4" s="4" t="s">
        <v>286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7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x14ac:dyDescent="0.25">
      <c r="A5" t="s">
        <v>27</v>
      </c>
      <c r="B5" t="str">
        <f>"28614950"</f>
        <v>28614950</v>
      </c>
      <c r="C5" t="s">
        <v>28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48.428980399399997</v>
      </c>
      <c r="S5">
        <v>48.428980399399997</v>
      </c>
      <c r="T5">
        <v>27.2407</v>
      </c>
      <c r="U5">
        <f t="shared" ref="U5:U68" si="0">H5+K5+O5+S5+T5</f>
        <v>75.669680399399994</v>
      </c>
    </row>
    <row r="6" spans="1:44" x14ac:dyDescent="0.25">
      <c r="A6" t="s">
        <v>29</v>
      </c>
      <c r="B6" t="str">
        <f>"26784246"</f>
        <v>26784246</v>
      </c>
      <c r="C6" t="s">
        <v>30</v>
      </c>
      <c r="F6">
        <v>55</v>
      </c>
      <c r="G6">
        <v>535.03860448071998</v>
      </c>
      <c r="H6">
        <v>544.88034414192998</v>
      </c>
      <c r="I6">
        <v>0</v>
      </c>
      <c r="J6">
        <v>0</v>
      </c>
      <c r="K6">
        <v>0</v>
      </c>
      <c r="L6">
        <v>1</v>
      </c>
      <c r="M6">
        <v>0</v>
      </c>
      <c r="N6">
        <v>324.23200000000003</v>
      </c>
      <c r="O6">
        <v>291.80900000000003</v>
      </c>
      <c r="P6">
        <v>0</v>
      </c>
      <c r="Q6">
        <v>0</v>
      </c>
      <c r="R6">
        <v>138.02049400909999</v>
      </c>
      <c r="S6">
        <v>138.02049400909999</v>
      </c>
      <c r="T6">
        <v>783.73199999999997</v>
      </c>
      <c r="U6">
        <f t="shared" si="0"/>
        <v>1758.44183815103</v>
      </c>
    </row>
    <row r="7" spans="1:44" x14ac:dyDescent="0.25">
      <c r="A7" t="s">
        <v>29</v>
      </c>
      <c r="B7" t="str">
        <f>"25328859"</f>
        <v>25328859</v>
      </c>
      <c r="C7" t="s">
        <v>31</v>
      </c>
      <c r="F7">
        <v>129</v>
      </c>
      <c r="G7">
        <v>1644.1790260088001</v>
      </c>
      <c r="H7">
        <v>1656.6640685375</v>
      </c>
      <c r="I7">
        <v>0</v>
      </c>
      <c r="J7">
        <v>0</v>
      </c>
      <c r="K7">
        <v>0</v>
      </c>
      <c r="L7">
        <v>2</v>
      </c>
      <c r="M7">
        <v>0</v>
      </c>
      <c r="N7">
        <v>334.30900000000003</v>
      </c>
      <c r="O7">
        <v>300.87799999999999</v>
      </c>
      <c r="P7">
        <v>0</v>
      </c>
      <c r="Q7">
        <v>0</v>
      </c>
      <c r="R7">
        <v>226.3099274866</v>
      </c>
      <c r="S7">
        <v>226.3099274866</v>
      </c>
      <c r="T7">
        <v>1231.82</v>
      </c>
      <c r="U7">
        <f t="shared" si="0"/>
        <v>3415.6719960240998</v>
      </c>
    </row>
    <row r="8" spans="1:44" x14ac:dyDescent="0.25">
      <c r="A8" t="s">
        <v>29</v>
      </c>
      <c r="B8" t="str">
        <f>"26788462"</f>
        <v>26788462</v>
      </c>
      <c r="C8" t="s">
        <v>32</v>
      </c>
      <c r="F8">
        <v>83</v>
      </c>
      <c r="G8">
        <v>408.48195216294999</v>
      </c>
      <c r="H8">
        <v>428.15099995443001</v>
      </c>
      <c r="I8">
        <v>0</v>
      </c>
      <c r="J8">
        <v>0</v>
      </c>
      <c r="K8">
        <v>0</v>
      </c>
      <c r="L8">
        <v>1</v>
      </c>
      <c r="M8">
        <v>0</v>
      </c>
      <c r="N8">
        <v>218.54599999999999</v>
      </c>
      <c r="O8">
        <v>196.691</v>
      </c>
      <c r="P8">
        <v>60</v>
      </c>
      <c r="Q8">
        <v>30</v>
      </c>
      <c r="R8">
        <v>64.999000145799997</v>
      </c>
      <c r="S8">
        <v>94.999000145799997</v>
      </c>
      <c r="T8">
        <v>788.32100000000003</v>
      </c>
      <c r="U8">
        <f t="shared" si="0"/>
        <v>1508.16200010023</v>
      </c>
    </row>
    <row r="9" spans="1:44" x14ac:dyDescent="0.25">
      <c r="A9" t="s">
        <v>27</v>
      </c>
      <c r="B9" t="str">
        <f t="shared" ref="B9:B18" si="1">"61384984"</f>
        <v>61384984</v>
      </c>
      <c r="C9" t="s">
        <v>33</v>
      </c>
      <c r="E9" t="s">
        <v>287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0</v>
      </c>
      <c r="N9">
        <v>3.9887999999999999</v>
      </c>
      <c r="O9">
        <v>3.5899200000000002</v>
      </c>
      <c r="P9">
        <v>0</v>
      </c>
      <c r="R9">
        <v>0</v>
      </c>
      <c r="S9">
        <v>0</v>
      </c>
      <c r="T9">
        <v>0</v>
      </c>
      <c r="U9">
        <f t="shared" si="0"/>
        <v>3.5899200000000002</v>
      </c>
    </row>
    <row r="10" spans="1:44" x14ac:dyDescent="0.25">
      <c r="A10" t="s">
        <v>27</v>
      </c>
      <c r="B10" t="str">
        <f t="shared" si="1"/>
        <v>61384984</v>
      </c>
      <c r="C10" t="s">
        <v>33</v>
      </c>
      <c r="D10">
        <v>51110</v>
      </c>
      <c r="E10" t="s">
        <v>288</v>
      </c>
      <c r="F10">
        <v>52</v>
      </c>
      <c r="G10">
        <v>679.32750300828002</v>
      </c>
      <c r="H10">
        <v>596.56832920694001</v>
      </c>
      <c r="I10">
        <v>0</v>
      </c>
      <c r="J10">
        <v>0</v>
      </c>
      <c r="K10">
        <v>0</v>
      </c>
      <c r="L10">
        <v>2</v>
      </c>
      <c r="M10">
        <v>0</v>
      </c>
      <c r="N10">
        <v>207.97499999999999</v>
      </c>
      <c r="O10">
        <v>187.178</v>
      </c>
      <c r="P10">
        <v>0</v>
      </c>
      <c r="Q10">
        <v>0</v>
      </c>
      <c r="R10">
        <v>81.8210354016</v>
      </c>
      <c r="S10">
        <v>81.8210354016</v>
      </c>
      <c r="T10">
        <v>524.42999999999995</v>
      </c>
      <c r="U10">
        <f t="shared" si="0"/>
        <v>1389.99736460854</v>
      </c>
    </row>
    <row r="11" spans="1:44" x14ac:dyDescent="0.25">
      <c r="A11" t="s">
        <v>27</v>
      </c>
      <c r="B11" t="str">
        <f t="shared" si="1"/>
        <v>61384984</v>
      </c>
      <c r="C11" t="s">
        <v>33</v>
      </c>
      <c r="D11">
        <v>51210</v>
      </c>
      <c r="E11" t="s">
        <v>289</v>
      </c>
      <c r="F11">
        <v>200</v>
      </c>
      <c r="G11">
        <v>2970.610211358</v>
      </c>
      <c r="H11">
        <v>2436.6583844753</v>
      </c>
      <c r="I11">
        <v>0</v>
      </c>
      <c r="J11">
        <v>0</v>
      </c>
      <c r="K11">
        <v>0</v>
      </c>
      <c r="L11">
        <v>2</v>
      </c>
      <c r="M11">
        <v>0</v>
      </c>
      <c r="N11">
        <v>249.56299999999999</v>
      </c>
      <c r="O11">
        <v>224.607</v>
      </c>
      <c r="P11">
        <v>0</v>
      </c>
      <c r="R11">
        <v>0</v>
      </c>
      <c r="S11">
        <v>0</v>
      </c>
      <c r="T11">
        <v>0</v>
      </c>
      <c r="U11">
        <f t="shared" si="0"/>
        <v>2661.2653844752999</v>
      </c>
    </row>
    <row r="12" spans="1:44" x14ac:dyDescent="0.25">
      <c r="A12" t="s">
        <v>27</v>
      </c>
      <c r="B12" t="str">
        <f t="shared" si="1"/>
        <v>61384984</v>
      </c>
      <c r="C12" t="s">
        <v>33</v>
      </c>
      <c r="D12">
        <v>51310</v>
      </c>
      <c r="E12" t="s">
        <v>290</v>
      </c>
      <c r="F12">
        <v>28</v>
      </c>
      <c r="G12">
        <v>570.16209311122998</v>
      </c>
      <c r="H12">
        <v>427.22004934129001</v>
      </c>
      <c r="I12">
        <v>0</v>
      </c>
      <c r="J12">
        <v>0</v>
      </c>
      <c r="K12">
        <v>0</v>
      </c>
      <c r="L12">
        <v>2</v>
      </c>
      <c r="M12">
        <v>0</v>
      </c>
      <c r="N12">
        <v>35.742600000000003</v>
      </c>
      <c r="O12">
        <v>32.168300000000002</v>
      </c>
      <c r="P12">
        <v>0</v>
      </c>
      <c r="Q12">
        <v>0</v>
      </c>
      <c r="R12">
        <v>504.4930473352</v>
      </c>
      <c r="S12">
        <v>504.4930473352</v>
      </c>
      <c r="T12">
        <v>478.48</v>
      </c>
      <c r="U12">
        <f t="shared" si="0"/>
        <v>1442.3613966764901</v>
      </c>
    </row>
    <row r="13" spans="1:44" x14ac:dyDescent="0.25">
      <c r="A13" t="s">
        <v>27</v>
      </c>
      <c r="B13" t="str">
        <f t="shared" si="1"/>
        <v>61384984</v>
      </c>
      <c r="C13" t="s">
        <v>33</v>
      </c>
      <c r="D13">
        <v>51610</v>
      </c>
      <c r="E13" t="s">
        <v>291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R13">
        <v>0</v>
      </c>
      <c r="S13">
        <v>0</v>
      </c>
      <c r="T13">
        <v>0</v>
      </c>
      <c r="U13">
        <f t="shared" si="0"/>
        <v>0</v>
      </c>
    </row>
    <row r="14" spans="1:44" x14ac:dyDescent="0.25">
      <c r="A14" t="s">
        <v>27</v>
      </c>
      <c r="B14" t="str">
        <f t="shared" si="1"/>
        <v>61384984</v>
      </c>
      <c r="C14" t="s">
        <v>33</v>
      </c>
      <c r="D14">
        <v>51620</v>
      </c>
      <c r="E14" t="s">
        <v>292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>
        <v>0</v>
      </c>
      <c r="N14">
        <v>0</v>
      </c>
      <c r="O14">
        <v>0</v>
      </c>
      <c r="P14">
        <v>0</v>
      </c>
      <c r="R14">
        <v>0</v>
      </c>
      <c r="S14">
        <v>0</v>
      </c>
      <c r="T14">
        <v>0</v>
      </c>
      <c r="U14">
        <f t="shared" si="0"/>
        <v>0</v>
      </c>
    </row>
    <row r="15" spans="1:44" x14ac:dyDescent="0.25">
      <c r="A15" t="s">
        <v>27</v>
      </c>
      <c r="B15" t="str">
        <f t="shared" si="1"/>
        <v>61384984</v>
      </c>
      <c r="C15" t="s">
        <v>33</v>
      </c>
      <c r="D15">
        <v>51630</v>
      </c>
      <c r="E15" t="s">
        <v>293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2</v>
      </c>
      <c r="M15">
        <v>0</v>
      </c>
      <c r="N15">
        <v>0</v>
      </c>
      <c r="O15">
        <v>0</v>
      </c>
      <c r="P15">
        <v>0</v>
      </c>
      <c r="R15">
        <v>0</v>
      </c>
      <c r="S15">
        <v>0</v>
      </c>
      <c r="T15">
        <v>0</v>
      </c>
      <c r="U15">
        <f t="shared" si="0"/>
        <v>0</v>
      </c>
    </row>
    <row r="16" spans="1:44" x14ac:dyDescent="0.25">
      <c r="A16" t="s">
        <v>27</v>
      </c>
      <c r="B16" t="str">
        <f t="shared" si="1"/>
        <v>61384984</v>
      </c>
      <c r="C16" t="s">
        <v>33</v>
      </c>
      <c r="D16">
        <v>51640</v>
      </c>
      <c r="E16" t="s">
        <v>294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0</v>
      </c>
      <c r="N16">
        <v>0</v>
      </c>
      <c r="O16">
        <v>0</v>
      </c>
      <c r="P16">
        <v>0</v>
      </c>
      <c r="R16">
        <v>0</v>
      </c>
      <c r="S16">
        <v>0</v>
      </c>
      <c r="T16">
        <v>0</v>
      </c>
      <c r="U16">
        <f t="shared" si="0"/>
        <v>0</v>
      </c>
    </row>
    <row r="17" spans="1:21" x14ac:dyDescent="0.25">
      <c r="A17" t="s">
        <v>27</v>
      </c>
      <c r="B17" t="str">
        <f t="shared" si="1"/>
        <v>61384984</v>
      </c>
      <c r="C17" t="s">
        <v>33</v>
      </c>
      <c r="D17">
        <v>51650</v>
      </c>
      <c r="E17" t="s">
        <v>295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0</v>
      </c>
      <c r="P17">
        <v>0</v>
      </c>
      <c r="R17">
        <v>0</v>
      </c>
      <c r="S17">
        <v>0</v>
      </c>
      <c r="T17">
        <v>0</v>
      </c>
      <c r="U17">
        <f t="shared" si="0"/>
        <v>0</v>
      </c>
    </row>
    <row r="18" spans="1:21" x14ac:dyDescent="0.25">
      <c r="A18" t="s">
        <v>27</v>
      </c>
      <c r="B18" t="str">
        <f t="shared" si="1"/>
        <v>61384984</v>
      </c>
      <c r="C18" t="s">
        <v>33</v>
      </c>
      <c r="D18">
        <v>51810</v>
      </c>
      <c r="E18" t="s">
        <v>296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2</v>
      </c>
      <c r="M18">
        <v>0</v>
      </c>
      <c r="N18">
        <v>0</v>
      </c>
      <c r="O18">
        <v>0</v>
      </c>
      <c r="P18">
        <v>0</v>
      </c>
      <c r="R18">
        <v>0</v>
      </c>
      <c r="S18">
        <v>0</v>
      </c>
      <c r="T18">
        <v>0</v>
      </c>
      <c r="U18">
        <f t="shared" si="0"/>
        <v>0</v>
      </c>
    </row>
    <row r="19" spans="1:21" x14ac:dyDescent="0.25">
      <c r="A19" t="s">
        <v>27</v>
      </c>
      <c r="B19" t="str">
        <f>"27266150"</f>
        <v>27266150</v>
      </c>
      <c r="C19" t="s">
        <v>34</v>
      </c>
      <c r="F19">
        <v>32</v>
      </c>
      <c r="G19">
        <v>217.40869574933001</v>
      </c>
      <c r="H19">
        <v>126.63630979726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R19">
        <v>0</v>
      </c>
      <c r="S19">
        <v>0</v>
      </c>
      <c r="T19">
        <v>0</v>
      </c>
      <c r="U19">
        <f t="shared" si="0"/>
        <v>126.63630979726</v>
      </c>
    </row>
    <row r="20" spans="1:21" x14ac:dyDescent="0.25">
      <c r="A20" t="s">
        <v>27</v>
      </c>
      <c r="B20" t="str">
        <f>"60461446"</f>
        <v>60461446</v>
      </c>
      <c r="C20" t="s">
        <v>35</v>
      </c>
      <c r="E20" t="s">
        <v>287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5.6357999999999997</v>
      </c>
      <c r="O20">
        <v>5.0722199999999997</v>
      </c>
      <c r="P20">
        <v>0</v>
      </c>
      <c r="Q20">
        <v>0</v>
      </c>
      <c r="R20">
        <v>59.727675739799999</v>
      </c>
      <c r="S20">
        <v>59.727675739799999</v>
      </c>
      <c r="T20">
        <v>176.958</v>
      </c>
      <c r="U20">
        <f t="shared" si="0"/>
        <v>241.75789573980001</v>
      </c>
    </row>
    <row r="21" spans="1:21" x14ac:dyDescent="0.25">
      <c r="A21" t="s">
        <v>27</v>
      </c>
      <c r="B21" t="str">
        <f>"60461446"</f>
        <v>60461446</v>
      </c>
      <c r="C21" t="s">
        <v>35</v>
      </c>
      <c r="D21">
        <v>52810</v>
      </c>
      <c r="E21" t="s">
        <v>297</v>
      </c>
      <c r="F21">
        <v>83</v>
      </c>
      <c r="G21">
        <v>1232.7770651102001</v>
      </c>
      <c r="H21">
        <v>974.30231798028001</v>
      </c>
      <c r="I21">
        <v>0</v>
      </c>
      <c r="J21">
        <v>0</v>
      </c>
      <c r="K21">
        <v>0</v>
      </c>
      <c r="L21">
        <v>1</v>
      </c>
      <c r="M21">
        <v>0</v>
      </c>
      <c r="N21">
        <v>77.805000000000007</v>
      </c>
      <c r="O21">
        <v>70.024500000000003</v>
      </c>
      <c r="P21">
        <v>0</v>
      </c>
      <c r="Q21">
        <v>0</v>
      </c>
      <c r="R21">
        <v>52.419225965700001</v>
      </c>
      <c r="S21">
        <v>52.419225965700001</v>
      </c>
      <c r="T21">
        <v>91.394800000000004</v>
      </c>
      <c r="U21">
        <f t="shared" si="0"/>
        <v>1188.1408439459801</v>
      </c>
    </row>
    <row r="22" spans="1:21" x14ac:dyDescent="0.25">
      <c r="A22" t="s">
        <v>36</v>
      </c>
      <c r="B22" t="str">
        <f>"63493713"</f>
        <v>63493713</v>
      </c>
      <c r="C22" t="s">
        <v>37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31.207920586899998</v>
      </c>
      <c r="S22">
        <v>31.207920586899998</v>
      </c>
      <c r="T22">
        <v>94.296999999999997</v>
      </c>
      <c r="U22">
        <f t="shared" si="0"/>
        <v>125.5049205869</v>
      </c>
    </row>
    <row r="23" spans="1:21" x14ac:dyDescent="0.25">
      <c r="A23" t="s">
        <v>27</v>
      </c>
      <c r="B23" t="str">
        <f>"28064933"</f>
        <v>28064933</v>
      </c>
      <c r="C23" t="s">
        <v>38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19.216182595599999</v>
      </c>
      <c r="S23">
        <v>19.216182595599999</v>
      </c>
      <c r="T23">
        <v>13.0068</v>
      </c>
      <c r="U23">
        <f t="shared" si="0"/>
        <v>32.222982595600001</v>
      </c>
    </row>
    <row r="24" spans="1:21" x14ac:dyDescent="0.25">
      <c r="A24" t="s">
        <v>27</v>
      </c>
      <c r="B24" t="str">
        <f>"26268469"</f>
        <v>26268469</v>
      </c>
      <c r="C24" t="s">
        <v>39</v>
      </c>
      <c r="F24">
        <v>80</v>
      </c>
      <c r="G24">
        <v>528.02039993119001</v>
      </c>
      <c r="H24">
        <v>397.90453745014997</v>
      </c>
      <c r="I24">
        <v>0</v>
      </c>
      <c r="J24">
        <v>0</v>
      </c>
      <c r="K24">
        <v>0</v>
      </c>
      <c r="L24">
        <v>0</v>
      </c>
      <c r="M24">
        <v>0</v>
      </c>
      <c r="N24">
        <v>42.679699999999997</v>
      </c>
      <c r="O24">
        <v>38.411700000000003</v>
      </c>
      <c r="P24">
        <v>0</v>
      </c>
      <c r="Q24">
        <v>0</v>
      </c>
      <c r="R24">
        <v>20.749276944799998</v>
      </c>
      <c r="S24">
        <v>20.749276944799998</v>
      </c>
      <c r="T24">
        <v>41.736199999999997</v>
      </c>
      <c r="U24">
        <f t="shared" si="0"/>
        <v>498.80171439494995</v>
      </c>
    </row>
    <row r="25" spans="1:21" x14ac:dyDescent="0.25">
      <c r="A25" t="s">
        <v>40</v>
      </c>
      <c r="B25" t="str">
        <f>"75008271"</f>
        <v>75008271</v>
      </c>
      <c r="C25" t="s">
        <v>41</v>
      </c>
      <c r="F25">
        <v>1</v>
      </c>
      <c r="G25">
        <v>1.2749999761580999</v>
      </c>
      <c r="H25">
        <v>0.95999997854232999</v>
      </c>
      <c r="I25">
        <v>0</v>
      </c>
      <c r="J25">
        <v>0</v>
      </c>
      <c r="K25">
        <v>0</v>
      </c>
      <c r="L25">
        <v>0</v>
      </c>
      <c r="M25">
        <v>0</v>
      </c>
      <c r="N25">
        <v>0.96065999999999996</v>
      </c>
      <c r="O25">
        <v>0.86459399999999997</v>
      </c>
      <c r="P25">
        <v>0</v>
      </c>
      <c r="R25">
        <v>0</v>
      </c>
      <c r="S25">
        <v>0</v>
      </c>
      <c r="T25">
        <v>26.625599999999999</v>
      </c>
      <c r="U25">
        <f t="shared" si="0"/>
        <v>28.45019397854233</v>
      </c>
    </row>
    <row r="26" spans="1:21" x14ac:dyDescent="0.25">
      <c r="A26" t="s">
        <v>42</v>
      </c>
      <c r="B26" t="str">
        <f>"68081758"</f>
        <v>68081758</v>
      </c>
      <c r="C26" t="s">
        <v>43</v>
      </c>
      <c r="F26">
        <v>146</v>
      </c>
      <c r="G26">
        <v>1426.4434941026</v>
      </c>
      <c r="H26">
        <v>1231.7233696129999</v>
      </c>
      <c r="I26">
        <v>0</v>
      </c>
      <c r="J26">
        <v>0</v>
      </c>
      <c r="K26">
        <v>0</v>
      </c>
      <c r="L26">
        <v>3</v>
      </c>
      <c r="M26">
        <v>1</v>
      </c>
      <c r="N26">
        <v>140.73699999999999</v>
      </c>
      <c r="O26">
        <v>147.28100000000001</v>
      </c>
      <c r="P26">
        <v>0</v>
      </c>
      <c r="Q26">
        <v>0</v>
      </c>
      <c r="R26">
        <v>80.161933297700003</v>
      </c>
      <c r="S26">
        <v>80.161933297700003</v>
      </c>
      <c r="T26">
        <v>362.447</v>
      </c>
      <c r="U26">
        <f t="shared" si="0"/>
        <v>1821.6133029107</v>
      </c>
    </row>
    <row r="27" spans="1:21" x14ac:dyDescent="0.25">
      <c r="A27" t="s">
        <v>42</v>
      </c>
      <c r="B27" t="str">
        <f>"67985912"</f>
        <v>67985912</v>
      </c>
      <c r="C27" t="s">
        <v>44</v>
      </c>
      <c r="F27">
        <v>502</v>
      </c>
      <c r="G27">
        <v>6041.5952737701</v>
      </c>
      <c r="H27">
        <v>4827.4271198995002</v>
      </c>
      <c r="I27">
        <v>0</v>
      </c>
      <c r="J27">
        <v>0</v>
      </c>
      <c r="K27">
        <v>0</v>
      </c>
      <c r="L27">
        <v>5</v>
      </c>
      <c r="M27">
        <v>0.35</v>
      </c>
      <c r="N27">
        <v>628.10199999999998</v>
      </c>
      <c r="O27">
        <v>584.61500000000001</v>
      </c>
      <c r="P27">
        <v>0</v>
      </c>
      <c r="Q27">
        <v>0</v>
      </c>
      <c r="R27">
        <v>189.68367344649999</v>
      </c>
      <c r="S27">
        <v>189.68367344649999</v>
      </c>
      <c r="T27">
        <v>649.85</v>
      </c>
      <c r="U27">
        <f t="shared" si="0"/>
        <v>6251.575793346</v>
      </c>
    </row>
    <row r="28" spans="1:21" x14ac:dyDescent="0.25">
      <c r="A28" t="s">
        <v>27</v>
      </c>
      <c r="B28" t="str">
        <f>"75112817"</f>
        <v>75112817</v>
      </c>
      <c r="C28" t="s">
        <v>45</v>
      </c>
      <c r="F28">
        <v>7</v>
      </c>
      <c r="G28">
        <v>14.16657990146</v>
      </c>
      <c r="H28">
        <v>7.1741429879172998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0</v>
      </c>
      <c r="S28">
        <v>0</v>
      </c>
      <c r="T28">
        <v>0</v>
      </c>
      <c r="U28">
        <f t="shared" si="0"/>
        <v>7.1741429879172998</v>
      </c>
    </row>
    <row r="29" spans="1:21" x14ac:dyDescent="0.25">
      <c r="A29" t="s">
        <v>27</v>
      </c>
      <c r="B29" t="str">
        <f>"49368842"</f>
        <v>49368842</v>
      </c>
      <c r="C29" t="s">
        <v>46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R29">
        <v>0</v>
      </c>
      <c r="S29">
        <v>0</v>
      </c>
      <c r="T29">
        <v>0</v>
      </c>
      <c r="U29">
        <f t="shared" si="0"/>
        <v>0</v>
      </c>
    </row>
    <row r="30" spans="1:21" x14ac:dyDescent="0.25">
      <c r="A30" t="s">
        <v>27</v>
      </c>
      <c r="B30" t="str">
        <f>"00546151"</f>
        <v>00546151</v>
      </c>
      <c r="C30" t="s">
        <v>47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10.500646227100001</v>
      </c>
      <c r="S30">
        <v>10.500646227100001</v>
      </c>
      <c r="T30">
        <v>0</v>
      </c>
      <c r="U30">
        <f t="shared" si="0"/>
        <v>10.500646227100001</v>
      </c>
    </row>
    <row r="31" spans="1:21" x14ac:dyDescent="0.25">
      <c r="A31" t="s">
        <v>42</v>
      </c>
      <c r="B31" t="str">
        <f>"67985815"</f>
        <v>67985815</v>
      </c>
      <c r="C31" t="s">
        <v>48</v>
      </c>
      <c r="F31">
        <v>539</v>
      </c>
      <c r="G31">
        <v>14775.402669462999</v>
      </c>
      <c r="H31">
        <v>20678.070043889998</v>
      </c>
      <c r="I31">
        <v>0</v>
      </c>
      <c r="J31">
        <v>0</v>
      </c>
      <c r="K31">
        <v>0</v>
      </c>
      <c r="L31">
        <v>9.1</v>
      </c>
      <c r="M31">
        <v>0.2</v>
      </c>
      <c r="N31">
        <v>2514.6999999999998</v>
      </c>
      <c r="O31">
        <v>2287.52</v>
      </c>
      <c r="P31">
        <v>0</v>
      </c>
      <c r="R31">
        <v>0</v>
      </c>
      <c r="S31">
        <v>0</v>
      </c>
      <c r="T31">
        <v>39.912999999999997</v>
      </c>
      <c r="U31">
        <f t="shared" si="0"/>
        <v>23005.503043889999</v>
      </c>
    </row>
    <row r="32" spans="1:21" x14ac:dyDescent="0.25">
      <c r="A32" t="s">
        <v>27</v>
      </c>
      <c r="B32" t="str">
        <f>"41601670"</f>
        <v>41601670</v>
      </c>
      <c r="C32" t="s">
        <v>49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R32">
        <v>0</v>
      </c>
      <c r="S32">
        <v>0</v>
      </c>
      <c r="T32">
        <v>0</v>
      </c>
      <c r="U32">
        <f t="shared" si="0"/>
        <v>0</v>
      </c>
    </row>
    <row r="33" spans="1:21" x14ac:dyDescent="0.25">
      <c r="A33" t="s">
        <v>42</v>
      </c>
      <c r="B33" t="str">
        <f>"68081707"</f>
        <v>68081707</v>
      </c>
      <c r="C33" t="s">
        <v>50</v>
      </c>
      <c r="F33">
        <v>549</v>
      </c>
      <c r="G33">
        <v>16188.120248629</v>
      </c>
      <c r="H33">
        <v>22396.803662263999</v>
      </c>
      <c r="I33">
        <v>0</v>
      </c>
      <c r="J33">
        <v>0</v>
      </c>
      <c r="K33">
        <v>0</v>
      </c>
      <c r="L33">
        <v>6.41</v>
      </c>
      <c r="M33">
        <v>1.3</v>
      </c>
      <c r="N33">
        <v>2923.8</v>
      </c>
      <c r="O33">
        <v>2892.02</v>
      </c>
      <c r="P33">
        <v>10</v>
      </c>
      <c r="Q33">
        <v>3.3333332538604998</v>
      </c>
      <c r="R33">
        <v>102.5283097615</v>
      </c>
      <c r="S33">
        <v>105.86164301540001</v>
      </c>
      <c r="T33">
        <v>163.37200000000001</v>
      </c>
      <c r="U33">
        <f t="shared" si="0"/>
        <v>25558.057305279399</v>
      </c>
    </row>
    <row r="34" spans="1:21" x14ac:dyDescent="0.25">
      <c r="A34" t="s">
        <v>42</v>
      </c>
      <c r="B34" t="str">
        <f>"60077344"</f>
        <v>60077344</v>
      </c>
      <c r="C34" t="s">
        <v>51</v>
      </c>
      <c r="F34">
        <v>1729</v>
      </c>
      <c r="G34">
        <v>38679.074832803999</v>
      </c>
      <c r="H34">
        <v>36817.455987988003</v>
      </c>
      <c r="I34">
        <v>1</v>
      </c>
      <c r="J34">
        <v>1</v>
      </c>
      <c r="K34">
        <v>2000</v>
      </c>
      <c r="L34">
        <v>15.75</v>
      </c>
      <c r="M34">
        <v>3.29</v>
      </c>
      <c r="N34">
        <v>5395.65</v>
      </c>
      <c r="O34">
        <v>5351.43</v>
      </c>
      <c r="P34">
        <v>220</v>
      </c>
      <c r="Q34">
        <v>158</v>
      </c>
      <c r="R34">
        <v>315.79643463399998</v>
      </c>
      <c r="S34">
        <v>473.79643463399998</v>
      </c>
      <c r="T34">
        <v>1341.55</v>
      </c>
      <c r="U34">
        <f t="shared" si="0"/>
        <v>45984.232422622008</v>
      </c>
    </row>
    <row r="35" spans="1:21" x14ac:dyDescent="0.25">
      <c r="A35" t="s">
        <v>42</v>
      </c>
      <c r="B35" t="str">
        <f>"86652036"</f>
        <v>86652036</v>
      </c>
      <c r="C35" t="s">
        <v>52</v>
      </c>
      <c r="F35">
        <v>155</v>
      </c>
      <c r="G35">
        <v>3949.1612461970999</v>
      </c>
      <c r="H35">
        <v>3935.5781855795999</v>
      </c>
      <c r="I35">
        <v>0</v>
      </c>
      <c r="J35">
        <v>0</v>
      </c>
      <c r="K35">
        <v>0</v>
      </c>
      <c r="L35">
        <v>3.12</v>
      </c>
      <c r="M35">
        <v>0.28000000000000003</v>
      </c>
      <c r="N35">
        <v>614.22500000000002</v>
      </c>
      <c r="O35">
        <v>577.02800000000002</v>
      </c>
      <c r="P35">
        <v>10</v>
      </c>
      <c r="Q35">
        <v>5</v>
      </c>
      <c r="R35">
        <v>97.403994402600006</v>
      </c>
      <c r="S35">
        <v>102.40399440260001</v>
      </c>
      <c r="T35">
        <v>594.86199999999997</v>
      </c>
      <c r="U35">
        <f t="shared" si="0"/>
        <v>5209.8721799821997</v>
      </c>
    </row>
    <row r="36" spans="1:21" x14ac:dyDescent="0.25">
      <c r="A36" t="s">
        <v>53</v>
      </c>
      <c r="B36" t="str">
        <f>"00064572"</f>
        <v>00064572</v>
      </c>
      <c r="C36" t="s">
        <v>54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R36">
        <v>0</v>
      </c>
      <c r="S36">
        <v>0</v>
      </c>
      <c r="T36">
        <v>0</v>
      </c>
      <c r="U36">
        <f t="shared" si="0"/>
        <v>0</v>
      </c>
    </row>
    <row r="37" spans="1:21" x14ac:dyDescent="0.25">
      <c r="A37" t="s">
        <v>42</v>
      </c>
      <c r="B37" t="str">
        <f>"67985939"</f>
        <v>67985939</v>
      </c>
      <c r="C37" t="s">
        <v>55</v>
      </c>
      <c r="F37">
        <v>945</v>
      </c>
      <c r="G37">
        <v>24543.092042135999</v>
      </c>
      <c r="H37">
        <v>23608.813827196002</v>
      </c>
      <c r="I37">
        <v>1</v>
      </c>
      <c r="J37">
        <v>1</v>
      </c>
      <c r="K37">
        <v>2000</v>
      </c>
      <c r="L37">
        <v>8</v>
      </c>
      <c r="M37">
        <v>0.2</v>
      </c>
      <c r="N37">
        <v>2623.48</v>
      </c>
      <c r="O37">
        <v>2389.96</v>
      </c>
      <c r="P37">
        <v>0</v>
      </c>
      <c r="Q37">
        <v>0</v>
      </c>
      <c r="R37">
        <v>267.13644001770001</v>
      </c>
      <c r="S37">
        <v>267.13644001770001</v>
      </c>
      <c r="T37">
        <v>1191.23</v>
      </c>
      <c r="U37">
        <f t="shared" si="0"/>
        <v>29457.140267213701</v>
      </c>
    </row>
    <row r="38" spans="1:21" x14ac:dyDescent="0.25">
      <c r="A38" t="s">
        <v>56</v>
      </c>
      <c r="B38" t="str">
        <f>"49366378"</f>
        <v>49366378</v>
      </c>
      <c r="C38" t="s">
        <v>57</v>
      </c>
      <c r="F38">
        <v>6</v>
      </c>
      <c r="G38">
        <v>22.706000506877999</v>
      </c>
      <c r="H38">
        <v>30.4139996171</v>
      </c>
      <c r="I38">
        <v>0</v>
      </c>
      <c r="J38">
        <v>0</v>
      </c>
      <c r="K38">
        <v>0</v>
      </c>
      <c r="L38">
        <v>1</v>
      </c>
      <c r="M38">
        <v>0</v>
      </c>
      <c r="N38">
        <v>23.289899999999999</v>
      </c>
      <c r="O38">
        <v>20.960899999999999</v>
      </c>
      <c r="P38">
        <v>0</v>
      </c>
      <c r="Q38">
        <v>0</v>
      </c>
      <c r="R38">
        <v>57.4175335698</v>
      </c>
      <c r="S38">
        <v>57.4175335698</v>
      </c>
      <c r="T38">
        <v>125.68600000000001</v>
      </c>
      <c r="U38">
        <f t="shared" si="0"/>
        <v>234.47843318690002</v>
      </c>
    </row>
    <row r="39" spans="1:21" x14ac:dyDescent="0.25">
      <c r="A39" t="s">
        <v>58</v>
      </c>
      <c r="B39" t="str">
        <f>"45249130"</f>
        <v>45249130</v>
      </c>
      <c r="C39" t="s">
        <v>59</v>
      </c>
      <c r="F39">
        <v>8</v>
      </c>
      <c r="G39">
        <v>153.01399962305999</v>
      </c>
      <c r="H39">
        <v>116.13881826278001</v>
      </c>
      <c r="I39">
        <v>0</v>
      </c>
      <c r="J39">
        <v>0</v>
      </c>
      <c r="K39">
        <v>0</v>
      </c>
      <c r="L39">
        <v>1</v>
      </c>
      <c r="M39">
        <v>0</v>
      </c>
      <c r="N39">
        <v>26.827200000000001</v>
      </c>
      <c r="O39">
        <v>24.144500000000001</v>
      </c>
      <c r="P39">
        <v>0</v>
      </c>
      <c r="Q39">
        <v>0</v>
      </c>
      <c r="R39">
        <v>60.252708051200003</v>
      </c>
      <c r="S39">
        <v>60.252708051200003</v>
      </c>
      <c r="T39">
        <v>215.40299999999999</v>
      </c>
      <c r="U39">
        <f t="shared" si="0"/>
        <v>415.93902631397998</v>
      </c>
    </row>
    <row r="40" spans="1:21" x14ac:dyDescent="0.25">
      <c r="A40" t="s">
        <v>60</v>
      </c>
      <c r="B40" t="str">
        <f>"44994575"</f>
        <v>44994575</v>
      </c>
      <c r="C40" t="s">
        <v>61</v>
      </c>
      <c r="F40">
        <v>54</v>
      </c>
      <c r="G40">
        <v>1122.6078910849999</v>
      </c>
      <c r="H40">
        <v>865.81051996917995</v>
      </c>
      <c r="I40">
        <v>0</v>
      </c>
      <c r="J40">
        <v>0</v>
      </c>
      <c r="K40">
        <v>0</v>
      </c>
      <c r="L40">
        <v>2</v>
      </c>
      <c r="M40">
        <v>0</v>
      </c>
      <c r="N40">
        <v>416.97500000000002</v>
      </c>
      <c r="O40">
        <v>375.27699999999999</v>
      </c>
      <c r="P40">
        <v>30</v>
      </c>
      <c r="Q40">
        <v>14</v>
      </c>
      <c r="R40">
        <v>1404.4194302907999</v>
      </c>
      <c r="S40">
        <v>1418.4194302907999</v>
      </c>
      <c r="T40">
        <v>5203.2299999999996</v>
      </c>
      <c r="U40">
        <f t="shared" si="0"/>
        <v>7862.7369502599795</v>
      </c>
    </row>
    <row r="41" spans="1:21" x14ac:dyDescent="0.25">
      <c r="A41" t="s">
        <v>27</v>
      </c>
      <c r="B41" t="str">
        <f>"25473361"</f>
        <v>25473361</v>
      </c>
      <c r="C41" t="s">
        <v>62</v>
      </c>
      <c r="F41">
        <v>8</v>
      </c>
      <c r="G41">
        <v>119.6939997673</v>
      </c>
      <c r="H41">
        <v>96.018997907639005</v>
      </c>
      <c r="I41">
        <v>0</v>
      </c>
      <c r="J41">
        <v>0</v>
      </c>
      <c r="K41">
        <v>0</v>
      </c>
      <c r="L41">
        <v>0</v>
      </c>
      <c r="M41">
        <v>0</v>
      </c>
      <c r="N41">
        <v>32.754800000000003</v>
      </c>
      <c r="O41">
        <v>29.479299999999999</v>
      </c>
      <c r="P41">
        <v>0</v>
      </c>
      <c r="R41">
        <v>0</v>
      </c>
      <c r="S41">
        <v>0</v>
      </c>
      <c r="T41">
        <v>0</v>
      </c>
      <c r="U41">
        <f t="shared" si="0"/>
        <v>125.498297907639</v>
      </c>
    </row>
    <row r="42" spans="1:21" x14ac:dyDescent="0.25">
      <c r="A42" t="s">
        <v>63</v>
      </c>
      <c r="B42" t="str">
        <f>"28645413"</f>
        <v>28645413</v>
      </c>
      <c r="C42" t="s">
        <v>64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1.2</v>
      </c>
      <c r="M42">
        <v>0</v>
      </c>
      <c r="N42">
        <v>0</v>
      </c>
      <c r="O42">
        <v>0</v>
      </c>
      <c r="P42">
        <v>0</v>
      </c>
      <c r="Q42">
        <v>0</v>
      </c>
      <c r="R42">
        <v>73.777540391700001</v>
      </c>
      <c r="S42">
        <v>73.777540391700001</v>
      </c>
      <c r="T42">
        <v>206.86099999999999</v>
      </c>
      <c r="U42">
        <f t="shared" si="0"/>
        <v>280.63854039169996</v>
      </c>
    </row>
    <row r="43" spans="1:21" x14ac:dyDescent="0.25">
      <c r="A43" t="s">
        <v>65</v>
      </c>
      <c r="B43" t="str">
        <f>"00209775"</f>
        <v>00209775</v>
      </c>
      <c r="C43" t="s">
        <v>66</v>
      </c>
      <c r="F43">
        <v>65</v>
      </c>
      <c r="G43">
        <v>593.36669557434004</v>
      </c>
      <c r="H43">
        <v>520.45599807055999</v>
      </c>
      <c r="I43">
        <v>0</v>
      </c>
      <c r="J43">
        <v>0</v>
      </c>
      <c r="K43">
        <v>0</v>
      </c>
      <c r="L43">
        <v>0</v>
      </c>
      <c r="M43">
        <v>0</v>
      </c>
      <c r="N43">
        <v>70.483000000000004</v>
      </c>
      <c r="O43">
        <v>63.434699999999999</v>
      </c>
      <c r="P43">
        <v>0</v>
      </c>
      <c r="Q43">
        <v>0</v>
      </c>
      <c r="R43">
        <v>62.751861853199998</v>
      </c>
      <c r="S43">
        <v>62.751861853199998</v>
      </c>
      <c r="T43">
        <v>101.782</v>
      </c>
      <c r="U43">
        <f t="shared" si="0"/>
        <v>748.42455992376006</v>
      </c>
    </row>
    <row r="44" spans="1:21" x14ac:dyDescent="0.25">
      <c r="A44" t="s">
        <v>63</v>
      </c>
      <c r="B44" t="str">
        <f>"28778758"</f>
        <v>28778758</v>
      </c>
      <c r="C44" t="s">
        <v>67</v>
      </c>
      <c r="F44">
        <v>16</v>
      </c>
      <c r="G44">
        <v>206.51414425373</v>
      </c>
      <c r="H44">
        <v>219.18201548011999</v>
      </c>
      <c r="I44">
        <v>0</v>
      </c>
      <c r="J44">
        <v>0</v>
      </c>
      <c r="K44">
        <v>0</v>
      </c>
      <c r="L44">
        <v>0</v>
      </c>
      <c r="M44">
        <v>0</v>
      </c>
      <c r="N44">
        <v>56.024500000000003</v>
      </c>
      <c r="O44">
        <v>50.4221</v>
      </c>
      <c r="P44">
        <v>10</v>
      </c>
      <c r="Q44">
        <v>6</v>
      </c>
      <c r="R44">
        <v>191.9728143239</v>
      </c>
      <c r="S44">
        <v>197.9728143239</v>
      </c>
      <c r="T44">
        <v>1020.85</v>
      </c>
      <c r="U44">
        <f t="shared" si="0"/>
        <v>1488.4269298040199</v>
      </c>
    </row>
    <row r="45" spans="1:21" x14ac:dyDescent="0.25">
      <c r="A45" t="s">
        <v>27</v>
      </c>
      <c r="B45" t="str">
        <f>"26995140"</f>
        <v>26995140</v>
      </c>
      <c r="C45" t="s">
        <v>68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R45">
        <v>0</v>
      </c>
      <c r="S45">
        <v>0</v>
      </c>
      <c r="T45">
        <v>0</v>
      </c>
      <c r="U45">
        <f t="shared" si="0"/>
        <v>0</v>
      </c>
    </row>
    <row r="46" spans="1:21" x14ac:dyDescent="0.25">
      <c r="A46" t="s">
        <v>36</v>
      </c>
      <c r="B46" t="str">
        <f>"22686860"</f>
        <v>22686860</v>
      </c>
      <c r="C46" t="s">
        <v>69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163.43205787869999</v>
      </c>
      <c r="S46">
        <v>163.43205787869999</v>
      </c>
      <c r="T46">
        <v>257.31099999999998</v>
      </c>
      <c r="U46">
        <f t="shared" si="0"/>
        <v>420.74305787869997</v>
      </c>
    </row>
    <row r="47" spans="1:21" x14ac:dyDescent="0.25">
      <c r="A47" t="s">
        <v>27</v>
      </c>
      <c r="B47" t="str">
        <f>"00237752"</f>
        <v>00237752</v>
      </c>
      <c r="C47" t="s">
        <v>70</v>
      </c>
      <c r="F47">
        <v>24</v>
      </c>
      <c r="G47">
        <v>320.74967739287001</v>
      </c>
      <c r="H47">
        <v>279.46442576917002</v>
      </c>
      <c r="I47">
        <v>0</v>
      </c>
      <c r="J47">
        <v>0</v>
      </c>
      <c r="K47">
        <v>0</v>
      </c>
      <c r="L47">
        <v>1</v>
      </c>
      <c r="M47">
        <v>0</v>
      </c>
      <c r="N47">
        <v>39.901400000000002</v>
      </c>
      <c r="O47">
        <v>35.911299999999997</v>
      </c>
      <c r="P47">
        <v>0</v>
      </c>
      <c r="Q47">
        <v>0</v>
      </c>
      <c r="R47">
        <v>20.056234293799999</v>
      </c>
      <c r="S47">
        <v>20.056234293799999</v>
      </c>
      <c r="T47">
        <v>15.236000000000001</v>
      </c>
      <c r="U47">
        <f t="shared" si="0"/>
        <v>350.66796006297</v>
      </c>
    </row>
    <row r="48" spans="1:21" x14ac:dyDescent="0.25">
      <c r="A48" t="s">
        <v>42</v>
      </c>
      <c r="B48" t="str">
        <f>"67179843"</f>
        <v>67179843</v>
      </c>
      <c r="C48" t="s">
        <v>71</v>
      </c>
      <c r="F48">
        <v>503</v>
      </c>
      <c r="G48">
        <v>10797.588914024</v>
      </c>
      <c r="H48">
        <v>10183.294601612</v>
      </c>
      <c r="I48">
        <v>0</v>
      </c>
      <c r="J48">
        <v>0</v>
      </c>
      <c r="K48">
        <v>0</v>
      </c>
      <c r="L48">
        <v>4</v>
      </c>
      <c r="M48">
        <v>0</v>
      </c>
      <c r="N48">
        <v>880.03899999999999</v>
      </c>
      <c r="O48">
        <v>792.03499999999997</v>
      </c>
      <c r="P48">
        <v>100</v>
      </c>
      <c r="Q48">
        <v>11.111110687256</v>
      </c>
      <c r="R48">
        <v>201.4233959284</v>
      </c>
      <c r="S48">
        <v>212.53450661560001</v>
      </c>
      <c r="T48">
        <v>861.14599999999996</v>
      </c>
      <c r="U48">
        <f t="shared" si="0"/>
        <v>12049.010108227601</v>
      </c>
    </row>
    <row r="49" spans="1:21" x14ac:dyDescent="0.25">
      <c r="A49" t="s">
        <v>63</v>
      </c>
      <c r="B49" t="str">
        <f>"26722445"</f>
        <v>26722445</v>
      </c>
      <c r="C49" t="s">
        <v>72</v>
      </c>
      <c r="F49">
        <v>155</v>
      </c>
      <c r="G49">
        <v>2020.0770762975001</v>
      </c>
      <c r="H49">
        <v>1770.8226684148001</v>
      </c>
      <c r="I49">
        <v>0</v>
      </c>
      <c r="J49">
        <v>0</v>
      </c>
      <c r="K49">
        <v>0</v>
      </c>
      <c r="L49">
        <v>2</v>
      </c>
      <c r="M49">
        <v>0</v>
      </c>
      <c r="N49">
        <v>598.47799999999995</v>
      </c>
      <c r="O49">
        <v>538.63</v>
      </c>
      <c r="P49">
        <v>10</v>
      </c>
      <c r="Q49">
        <v>10</v>
      </c>
      <c r="R49">
        <v>1319.2591893889</v>
      </c>
      <c r="S49">
        <v>1329.2591893889</v>
      </c>
      <c r="T49">
        <v>5870.07</v>
      </c>
      <c r="U49">
        <f t="shared" si="0"/>
        <v>9508.7818578037004</v>
      </c>
    </row>
    <row r="50" spans="1:21" x14ac:dyDescent="0.25">
      <c r="A50" t="s">
        <v>27</v>
      </c>
      <c r="B50" t="str">
        <f>"63839172"</f>
        <v>63839172</v>
      </c>
      <c r="C50" t="s">
        <v>73</v>
      </c>
      <c r="F50">
        <v>75</v>
      </c>
      <c r="G50">
        <v>969.46737121462002</v>
      </c>
      <c r="H50">
        <v>693.31063694834995</v>
      </c>
      <c r="I50">
        <v>0</v>
      </c>
      <c r="J50">
        <v>0</v>
      </c>
      <c r="K50">
        <v>0</v>
      </c>
      <c r="L50">
        <v>1</v>
      </c>
      <c r="M50">
        <v>0</v>
      </c>
      <c r="N50">
        <v>352.33499999999998</v>
      </c>
      <c r="O50">
        <v>317.10199999999998</v>
      </c>
      <c r="P50">
        <v>0</v>
      </c>
      <c r="Q50">
        <v>0</v>
      </c>
      <c r="R50">
        <v>125.6507327536</v>
      </c>
      <c r="S50">
        <v>125.6507327536</v>
      </c>
      <c r="T50">
        <v>1865.97</v>
      </c>
      <c r="U50">
        <f t="shared" si="0"/>
        <v>3002.0333697019501</v>
      </c>
    </row>
    <row r="51" spans="1:21" x14ac:dyDescent="0.25">
      <c r="A51" t="s">
        <v>63</v>
      </c>
      <c r="B51" t="str">
        <f>"26316919"</f>
        <v>26316919</v>
      </c>
      <c r="C51" t="s">
        <v>74</v>
      </c>
      <c r="F51">
        <v>99</v>
      </c>
      <c r="G51">
        <v>1120.2463811757</v>
      </c>
      <c r="H51">
        <v>803.50292009617999</v>
      </c>
      <c r="I51">
        <v>0</v>
      </c>
      <c r="J51">
        <v>0</v>
      </c>
      <c r="K51">
        <v>0</v>
      </c>
      <c r="L51">
        <v>2</v>
      </c>
      <c r="M51">
        <v>0</v>
      </c>
      <c r="N51">
        <v>311.59699999999998</v>
      </c>
      <c r="O51">
        <v>280.43700000000001</v>
      </c>
      <c r="P51">
        <v>30</v>
      </c>
      <c r="Q51">
        <v>26.07142829895</v>
      </c>
      <c r="R51">
        <v>742.05966757730005</v>
      </c>
      <c r="S51">
        <v>768.13109587619999</v>
      </c>
      <c r="T51">
        <v>3225.99</v>
      </c>
      <c r="U51">
        <f t="shared" si="0"/>
        <v>5078.0610159723801</v>
      </c>
    </row>
    <row r="52" spans="1:21" x14ac:dyDescent="0.25">
      <c r="A52" t="s">
        <v>27</v>
      </c>
      <c r="B52" t="str">
        <f>"26633191"</f>
        <v>26633191</v>
      </c>
      <c r="C52" t="s">
        <v>75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R52">
        <v>0</v>
      </c>
      <c r="S52">
        <v>0</v>
      </c>
      <c r="T52">
        <v>0</v>
      </c>
      <c r="U52">
        <f t="shared" si="0"/>
        <v>0</v>
      </c>
    </row>
    <row r="53" spans="1:21" x14ac:dyDescent="0.25">
      <c r="A53" t="s">
        <v>58</v>
      </c>
      <c r="B53" t="str">
        <f>"00025798"</f>
        <v>00025798</v>
      </c>
      <c r="C53" t="s">
        <v>76</v>
      </c>
      <c r="F53">
        <v>579</v>
      </c>
      <c r="G53">
        <v>12752.471442442</v>
      </c>
      <c r="H53">
        <v>11616.584322922001</v>
      </c>
      <c r="I53">
        <v>0</v>
      </c>
      <c r="J53">
        <v>0</v>
      </c>
      <c r="K53">
        <v>0</v>
      </c>
      <c r="L53">
        <v>8</v>
      </c>
      <c r="M53">
        <v>1.7</v>
      </c>
      <c r="N53">
        <v>3744.37</v>
      </c>
      <c r="O53">
        <v>3719.62</v>
      </c>
      <c r="P53">
        <v>20</v>
      </c>
      <c r="Q53">
        <v>10.333333492278999</v>
      </c>
      <c r="R53">
        <v>275.43195053710002</v>
      </c>
      <c r="S53">
        <v>285.76528402930001</v>
      </c>
      <c r="T53">
        <v>9165.7199999999993</v>
      </c>
      <c r="U53">
        <f t="shared" si="0"/>
        <v>24787.689606951299</v>
      </c>
    </row>
    <row r="54" spans="1:21" x14ac:dyDescent="0.25">
      <c r="A54" t="s">
        <v>27</v>
      </c>
      <c r="B54" t="str">
        <f>"27142949"</f>
        <v>27142949</v>
      </c>
      <c r="C54" t="s">
        <v>77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R54">
        <v>0</v>
      </c>
      <c r="S54">
        <v>0</v>
      </c>
      <c r="T54">
        <v>0</v>
      </c>
      <c r="U54">
        <f t="shared" si="0"/>
        <v>0</v>
      </c>
    </row>
    <row r="55" spans="1:21" x14ac:dyDescent="0.25">
      <c r="A55" t="s">
        <v>27</v>
      </c>
      <c r="B55" t="str">
        <f t="shared" ref="B55:B70" si="2">"60460709"</f>
        <v>60460709</v>
      </c>
      <c r="C55" t="s">
        <v>78</v>
      </c>
      <c r="E55" t="s">
        <v>287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15</v>
      </c>
      <c r="M55">
        <v>0</v>
      </c>
      <c r="N55">
        <v>0.83069999999999999</v>
      </c>
      <c r="O55">
        <v>0.74763000000000002</v>
      </c>
      <c r="P55">
        <v>0</v>
      </c>
      <c r="R55">
        <v>0</v>
      </c>
      <c r="S55">
        <v>0</v>
      </c>
      <c r="T55">
        <v>0</v>
      </c>
      <c r="U55">
        <f t="shared" si="0"/>
        <v>0.74763000000000002</v>
      </c>
    </row>
    <row r="56" spans="1:21" x14ac:dyDescent="0.25">
      <c r="A56" t="s">
        <v>27</v>
      </c>
      <c r="B56" t="str">
        <f t="shared" si="2"/>
        <v>60460709</v>
      </c>
      <c r="C56" t="s">
        <v>78</v>
      </c>
      <c r="D56">
        <v>41110</v>
      </c>
      <c r="E56" t="s">
        <v>298</v>
      </c>
      <c r="F56">
        <v>976</v>
      </c>
      <c r="G56">
        <v>10962.564061337</v>
      </c>
      <c r="H56">
        <v>7969.4852698689001</v>
      </c>
      <c r="I56">
        <v>0</v>
      </c>
      <c r="J56">
        <v>0</v>
      </c>
      <c r="K56">
        <v>0</v>
      </c>
      <c r="L56">
        <v>15</v>
      </c>
      <c r="M56">
        <v>0</v>
      </c>
      <c r="N56">
        <v>1026.27</v>
      </c>
      <c r="O56">
        <v>923.64300000000003</v>
      </c>
      <c r="P56">
        <v>0</v>
      </c>
      <c r="Q56">
        <v>0</v>
      </c>
      <c r="R56">
        <v>116.5571731209</v>
      </c>
      <c r="S56">
        <v>116.5571731209</v>
      </c>
      <c r="T56">
        <v>550.50300000000004</v>
      </c>
      <c r="U56">
        <f t="shared" si="0"/>
        <v>9560.1884429898</v>
      </c>
    </row>
    <row r="57" spans="1:21" x14ac:dyDescent="0.25">
      <c r="A57" t="s">
        <v>27</v>
      </c>
      <c r="B57" t="str">
        <f t="shared" si="2"/>
        <v>60460709</v>
      </c>
      <c r="C57" t="s">
        <v>78</v>
      </c>
      <c r="D57">
        <v>41210</v>
      </c>
      <c r="E57" t="s">
        <v>299</v>
      </c>
      <c r="F57">
        <v>1216</v>
      </c>
      <c r="G57">
        <v>19961.003591560999</v>
      </c>
      <c r="H57">
        <v>18807.986537733999</v>
      </c>
      <c r="I57">
        <v>0</v>
      </c>
      <c r="J57">
        <v>0</v>
      </c>
      <c r="K57">
        <v>0</v>
      </c>
      <c r="L57">
        <v>15</v>
      </c>
      <c r="M57">
        <v>2.02</v>
      </c>
      <c r="N57">
        <v>2008.63</v>
      </c>
      <c r="O57">
        <v>2248.09</v>
      </c>
      <c r="P57">
        <v>20</v>
      </c>
      <c r="Q57">
        <v>7.1153845787048002</v>
      </c>
      <c r="R57">
        <v>822.95664611109999</v>
      </c>
      <c r="S57">
        <v>830.07203068980004</v>
      </c>
      <c r="T57">
        <v>2572.1</v>
      </c>
      <c r="U57">
        <f t="shared" si="0"/>
        <v>24458.248568423798</v>
      </c>
    </row>
    <row r="58" spans="1:21" x14ac:dyDescent="0.25">
      <c r="A58" t="s">
        <v>27</v>
      </c>
      <c r="B58" t="str">
        <f t="shared" si="2"/>
        <v>60460709</v>
      </c>
      <c r="C58" t="s">
        <v>78</v>
      </c>
      <c r="D58">
        <v>41310</v>
      </c>
      <c r="E58" t="s">
        <v>300</v>
      </c>
      <c r="F58">
        <v>579</v>
      </c>
      <c r="G58">
        <v>8690.0601442851003</v>
      </c>
      <c r="H58">
        <v>7202.6620994935001</v>
      </c>
      <c r="I58">
        <v>0</v>
      </c>
      <c r="J58">
        <v>0</v>
      </c>
      <c r="K58">
        <v>0</v>
      </c>
      <c r="L58">
        <v>15</v>
      </c>
      <c r="M58">
        <v>0</v>
      </c>
      <c r="N58">
        <v>619.92399999999998</v>
      </c>
      <c r="O58">
        <v>557.93200000000002</v>
      </c>
      <c r="P58">
        <v>30</v>
      </c>
      <c r="Q58">
        <v>14.102564036845999</v>
      </c>
      <c r="R58">
        <v>119.11933080030001</v>
      </c>
      <c r="S58">
        <v>133.22189483720001</v>
      </c>
      <c r="T58">
        <v>1989.78</v>
      </c>
      <c r="U58">
        <f t="shared" si="0"/>
        <v>9883.5959943307007</v>
      </c>
    </row>
    <row r="59" spans="1:21" x14ac:dyDescent="0.25">
      <c r="A59" t="s">
        <v>27</v>
      </c>
      <c r="B59" t="str">
        <f t="shared" si="2"/>
        <v>60460709</v>
      </c>
      <c r="C59" t="s">
        <v>78</v>
      </c>
      <c r="D59">
        <v>41320</v>
      </c>
      <c r="E59" t="s">
        <v>301</v>
      </c>
      <c r="F59">
        <v>844</v>
      </c>
      <c r="G59">
        <v>16879.154840826999</v>
      </c>
      <c r="H59">
        <v>15380.513740856</v>
      </c>
      <c r="I59">
        <v>0</v>
      </c>
      <c r="J59">
        <v>0</v>
      </c>
      <c r="K59">
        <v>0</v>
      </c>
      <c r="L59">
        <v>15</v>
      </c>
      <c r="M59">
        <v>0.67</v>
      </c>
      <c r="N59">
        <v>1207.93</v>
      </c>
      <c r="O59">
        <v>1233.19</v>
      </c>
      <c r="P59">
        <v>0</v>
      </c>
      <c r="Q59">
        <v>0</v>
      </c>
      <c r="R59">
        <v>687.62431753589999</v>
      </c>
      <c r="S59">
        <v>687.62431753589999</v>
      </c>
      <c r="T59">
        <v>3515.01</v>
      </c>
      <c r="U59">
        <f t="shared" si="0"/>
        <v>20816.338058391899</v>
      </c>
    </row>
    <row r="60" spans="1:21" x14ac:dyDescent="0.25">
      <c r="A60" t="s">
        <v>27</v>
      </c>
      <c r="B60" t="str">
        <f t="shared" si="2"/>
        <v>60460709</v>
      </c>
      <c r="C60" t="s">
        <v>78</v>
      </c>
      <c r="D60">
        <v>41330</v>
      </c>
      <c r="E60" t="s">
        <v>302</v>
      </c>
      <c r="F60">
        <v>766</v>
      </c>
      <c r="G60">
        <v>14262.950027909999</v>
      </c>
      <c r="H60">
        <v>12915.80399076</v>
      </c>
      <c r="I60">
        <v>0</v>
      </c>
      <c r="J60">
        <v>0</v>
      </c>
      <c r="K60">
        <v>0</v>
      </c>
      <c r="L60">
        <v>15</v>
      </c>
      <c r="M60">
        <v>2.4300000000000002</v>
      </c>
      <c r="N60">
        <v>2157.2600000000002</v>
      </c>
      <c r="O60">
        <v>2471.23</v>
      </c>
      <c r="P60">
        <v>10</v>
      </c>
      <c r="Q60">
        <v>2.6666667461395002</v>
      </c>
      <c r="R60">
        <v>337.80578912610002</v>
      </c>
      <c r="S60">
        <v>340.47245587229997</v>
      </c>
      <c r="T60">
        <v>3702.76</v>
      </c>
      <c r="U60">
        <f t="shared" si="0"/>
        <v>19430.266446632297</v>
      </c>
    </row>
    <row r="61" spans="1:21" x14ac:dyDescent="0.25">
      <c r="A61" t="s">
        <v>27</v>
      </c>
      <c r="B61" t="str">
        <f t="shared" si="2"/>
        <v>60460709</v>
      </c>
      <c r="C61" t="s">
        <v>78</v>
      </c>
      <c r="D61">
        <v>41340</v>
      </c>
      <c r="E61" t="s">
        <v>303</v>
      </c>
      <c r="F61">
        <v>196</v>
      </c>
      <c r="G61">
        <v>2724.4031679771001</v>
      </c>
      <c r="H61">
        <v>2210.1595716611</v>
      </c>
      <c r="I61">
        <v>0</v>
      </c>
      <c r="J61">
        <v>0</v>
      </c>
      <c r="K61">
        <v>0</v>
      </c>
      <c r="L61">
        <v>15</v>
      </c>
      <c r="M61">
        <v>0</v>
      </c>
      <c r="N61">
        <v>406.97699999999998</v>
      </c>
      <c r="O61">
        <v>366.279</v>
      </c>
      <c r="P61">
        <v>0</v>
      </c>
      <c r="Q61">
        <v>0</v>
      </c>
      <c r="R61">
        <v>7.6234691609</v>
      </c>
      <c r="S61">
        <v>7.6234691609</v>
      </c>
      <c r="T61">
        <v>84.137500000000003</v>
      </c>
      <c r="U61">
        <f t="shared" si="0"/>
        <v>2668.199540822</v>
      </c>
    </row>
    <row r="62" spans="1:21" x14ac:dyDescent="0.25">
      <c r="A62" t="s">
        <v>27</v>
      </c>
      <c r="B62" t="str">
        <f t="shared" si="2"/>
        <v>60460709</v>
      </c>
      <c r="C62" t="s">
        <v>78</v>
      </c>
      <c r="D62">
        <v>41600</v>
      </c>
      <c r="E62" t="s">
        <v>304</v>
      </c>
      <c r="F62">
        <v>25</v>
      </c>
      <c r="G62">
        <v>114.2113824616</v>
      </c>
      <c r="H62">
        <v>97.541409767771995</v>
      </c>
      <c r="I62">
        <v>0</v>
      </c>
      <c r="J62">
        <v>0</v>
      </c>
      <c r="K62">
        <v>0</v>
      </c>
      <c r="L62">
        <v>15</v>
      </c>
      <c r="M62">
        <v>0</v>
      </c>
      <c r="N62">
        <v>10.6839</v>
      </c>
      <c r="O62">
        <v>9.6155100000000004</v>
      </c>
      <c r="P62">
        <v>0</v>
      </c>
      <c r="R62">
        <v>0</v>
      </c>
      <c r="S62">
        <v>0</v>
      </c>
      <c r="T62">
        <v>0</v>
      </c>
      <c r="U62">
        <f t="shared" si="0"/>
        <v>107.156919767772</v>
      </c>
    </row>
    <row r="63" spans="1:21" x14ac:dyDescent="0.25">
      <c r="A63" t="s">
        <v>27</v>
      </c>
      <c r="B63" t="str">
        <f t="shared" si="2"/>
        <v>60460709</v>
      </c>
      <c r="C63" t="s">
        <v>78</v>
      </c>
      <c r="D63">
        <v>41610</v>
      </c>
      <c r="E63" t="s">
        <v>305</v>
      </c>
      <c r="F63">
        <v>70</v>
      </c>
      <c r="G63">
        <v>733.13500154018004</v>
      </c>
      <c r="H63">
        <v>759.18800006061997</v>
      </c>
      <c r="I63">
        <v>0</v>
      </c>
      <c r="J63">
        <v>0</v>
      </c>
      <c r="K63">
        <v>0</v>
      </c>
      <c r="L63">
        <v>15</v>
      </c>
      <c r="M63">
        <v>0</v>
      </c>
      <c r="N63">
        <v>0</v>
      </c>
      <c r="O63">
        <v>0</v>
      </c>
      <c r="P63">
        <v>0</v>
      </c>
      <c r="Q63">
        <v>0</v>
      </c>
      <c r="R63">
        <v>7.6234691609</v>
      </c>
      <c r="S63">
        <v>7.6234691609</v>
      </c>
      <c r="T63">
        <v>6.9964300000000001</v>
      </c>
      <c r="U63">
        <f t="shared" si="0"/>
        <v>773.80789922151996</v>
      </c>
    </row>
    <row r="64" spans="1:21" x14ac:dyDescent="0.25">
      <c r="A64" t="s">
        <v>27</v>
      </c>
      <c r="B64" t="str">
        <f t="shared" si="2"/>
        <v>60460709</v>
      </c>
      <c r="C64" t="s">
        <v>78</v>
      </c>
      <c r="D64">
        <v>41630</v>
      </c>
      <c r="E64" t="s">
        <v>306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15</v>
      </c>
      <c r="M64">
        <v>0</v>
      </c>
      <c r="N64">
        <v>0</v>
      </c>
      <c r="O64">
        <v>0</v>
      </c>
      <c r="P64">
        <v>0</v>
      </c>
      <c r="R64">
        <v>0</v>
      </c>
      <c r="S64">
        <v>0</v>
      </c>
      <c r="T64">
        <v>0</v>
      </c>
      <c r="U64">
        <f t="shared" si="0"/>
        <v>0</v>
      </c>
    </row>
    <row r="65" spans="1:21" x14ac:dyDescent="0.25">
      <c r="A65" t="s">
        <v>27</v>
      </c>
      <c r="B65" t="str">
        <f t="shared" si="2"/>
        <v>60460709</v>
      </c>
      <c r="C65" t="s">
        <v>78</v>
      </c>
      <c r="D65">
        <v>41640</v>
      </c>
      <c r="E65" t="s">
        <v>307</v>
      </c>
      <c r="F65">
        <v>1</v>
      </c>
      <c r="G65">
        <v>3.2</v>
      </c>
      <c r="H65">
        <v>0.52151235520000006</v>
      </c>
      <c r="I65">
        <v>0</v>
      </c>
      <c r="J65">
        <v>0</v>
      </c>
      <c r="K65">
        <v>0</v>
      </c>
      <c r="L65">
        <v>15</v>
      </c>
      <c r="M65">
        <v>0</v>
      </c>
      <c r="N65">
        <v>0</v>
      </c>
      <c r="O65">
        <v>0</v>
      </c>
      <c r="P65">
        <v>0</v>
      </c>
      <c r="R65">
        <v>0</v>
      </c>
      <c r="S65">
        <v>0</v>
      </c>
      <c r="T65">
        <v>0</v>
      </c>
      <c r="U65">
        <f t="shared" si="0"/>
        <v>0.52151235520000006</v>
      </c>
    </row>
    <row r="66" spans="1:21" x14ac:dyDescent="0.25">
      <c r="A66" t="s">
        <v>27</v>
      </c>
      <c r="B66" t="str">
        <f t="shared" si="2"/>
        <v>60460709</v>
      </c>
      <c r="C66" t="s">
        <v>78</v>
      </c>
      <c r="D66">
        <v>41650</v>
      </c>
      <c r="E66" t="s">
        <v>308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15</v>
      </c>
      <c r="M66">
        <v>0</v>
      </c>
      <c r="N66">
        <v>0</v>
      </c>
      <c r="O66">
        <v>0</v>
      </c>
      <c r="P66">
        <v>0</v>
      </c>
      <c r="R66">
        <v>0</v>
      </c>
      <c r="S66">
        <v>0</v>
      </c>
      <c r="T66">
        <v>0</v>
      </c>
      <c r="U66">
        <f t="shared" si="0"/>
        <v>0</v>
      </c>
    </row>
    <row r="67" spans="1:21" x14ac:dyDescent="0.25">
      <c r="A67" t="s">
        <v>27</v>
      </c>
      <c r="B67" t="str">
        <f t="shared" si="2"/>
        <v>60460709</v>
      </c>
      <c r="C67" t="s">
        <v>78</v>
      </c>
      <c r="D67">
        <v>41660</v>
      </c>
      <c r="E67" t="s">
        <v>309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15</v>
      </c>
      <c r="M67">
        <v>0</v>
      </c>
      <c r="N67">
        <v>0</v>
      </c>
      <c r="O67">
        <v>0</v>
      </c>
      <c r="P67">
        <v>0</v>
      </c>
      <c r="R67">
        <v>0</v>
      </c>
      <c r="S67">
        <v>0</v>
      </c>
      <c r="T67">
        <v>0</v>
      </c>
      <c r="U67">
        <f t="shared" si="0"/>
        <v>0</v>
      </c>
    </row>
    <row r="68" spans="1:21" x14ac:dyDescent="0.25">
      <c r="A68" t="s">
        <v>27</v>
      </c>
      <c r="B68" t="str">
        <f t="shared" si="2"/>
        <v>60460709</v>
      </c>
      <c r="C68" t="s">
        <v>78</v>
      </c>
      <c r="D68">
        <v>41680</v>
      </c>
      <c r="E68" t="s">
        <v>310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15</v>
      </c>
      <c r="M68">
        <v>0</v>
      </c>
      <c r="N68">
        <v>0</v>
      </c>
      <c r="O68">
        <v>0</v>
      </c>
      <c r="P68">
        <v>0</v>
      </c>
      <c r="R68">
        <v>0</v>
      </c>
      <c r="S68">
        <v>0</v>
      </c>
      <c r="T68">
        <v>0</v>
      </c>
      <c r="U68">
        <f t="shared" si="0"/>
        <v>0</v>
      </c>
    </row>
    <row r="69" spans="1:21" x14ac:dyDescent="0.25">
      <c r="A69" t="s">
        <v>27</v>
      </c>
      <c r="B69" t="str">
        <f t="shared" si="2"/>
        <v>60460709</v>
      </c>
      <c r="C69" t="s">
        <v>78</v>
      </c>
      <c r="D69">
        <v>41690</v>
      </c>
      <c r="E69" t="s">
        <v>311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15</v>
      </c>
      <c r="M69">
        <v>0</v>
      </c>
      <c r="N69">
        <v>0</v>
      </c>
      <c r="O69">
        <v>0</v>
      </c>
      <c r="P69">
        <v>0</v>
      </c>
      <c r="R69">
        <v>0</v>
      </c>
      <c r="S69">
        <v>0</v>
      </c>
      <c r="T69">
        <v>0</v>
      </c>
      <c r="U69">
        <f t="shared" ref="U69:U131" si="3">H69+K69+O69+S69+T69</f>
        <v>0</v>
      </c>
    </row>
    <row r="70" spans="1:21" x14ac:dyDescent="0.25">
      <c r="A70" t="s">
        <v>27</v>
      </c>
      <c r="B70" t="str">
        <f t="shared" si="2"/>
        <v>60460709</v>
      </c>
      <c r="C70" t="s">
        <v>78</v>
      </c>
      <c r="D70">
        <v>41810</v>
      </c>
      <c r="E70" t="s">
        <v>297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15</v>
      </c>
      <c r="M70">
        <v>0</v>
      </c>
      <c r="N70">
        <v>1.4553</v>
      </c>
      <c r="O70">
        <v>1.3097700000000001</v>
      </c>
      <c r="P70">
        <v>0</v>
      </c>
      <c r="Q70">
        <v>0</v>
      </c>
      <c r="R70">
        <v>21.3373131335</v>
      </c>
      <c r="S70">
        <v>21.3373131335</v>
      </c>
      <c r="T70">
        <v>61.116399999999999</v>
      </c>
      <c r="U70">
        <f t="shared" si="3"/>
        <v>83.763483133500003</v>
      </c>
    </row>
    <row r="71" spans="1:21" x14ac:dyDescent="0.25">
      <c r="A71" t="s">
        <v>27</v>
      </c>
      <c r="B71" t="str">
        <f t="shared" ref="B71:B93" si="4">"68407700"</f>
        <v>68407700</v>
      </c>
      <c r="C71" t="s">
        <v>79</v>
      </c>
      <c r="E71" t="s">
        <v>287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60</v>
      </c>
      <c r="M71">
        <v>0</v>
      </c>
      <c r="N71">
        <v>0</v>
      </c>
      <c r="O71">
        <v>0</v>
      </c>
      <c r="P71">
        <v>0</v>
      </c>
      <c r="Q71">
        <v>0</v>
      </c>
      <c r="R71">
        <v>1.3650840095000001</v>
      </c>
      <c r="S71">
        <v>1.3650840095000001</v>
      </c>
      <c r="T71">
        <v>0</v>
      </c>
      <c r="U71">
        <f t="shared" si="3"/>
        <v>1.3650840095000001</v>
      </c>
    </row>
    <row r="72" spans="1:21" x14ac:dyDescent="0.25">
      <c r="A72" t="s">
        <v>27</v>
      </c>
      <c r="B72" t="str">
        <f t="shared" si="4"/>
        <v>68407700</v>
      </c>
      <c r="C72" t="s">
        <v>79</v>
      </c>
      <c r="D72">
        <v>21110</v>
      </c>
      <c r="E72" t="s">
        <v>312</v>
      </c>
      <c r="F72">
        <v>2027</v>
      </c>
      <c r="G72">
        <v>34766.454332002002</v>
      </c>
      <c r="H72">
        <v>28225.346979798</v>
      </c>
      <c r="I72">
        <v>0</v>
      </c>
      <c r="J72">
        <v>0</v>
      </c>
      <c r="K72">
        <v>0</v>
      </c>
      <c r="L72">
        <v>60</v>
      </c>
      <c r="M72">
        <v>5.13</v>
      </c>
      <c r="N72">
        <v>5768.46</v>
      </c>
      <c r="O72">
        <v>6248.34</v>
      </c>
      <c r="P72">
        <v>270</v>
      </c>
      <c r="Q72">
        <v>231.19047617912</v>
      </c>
      <c r="R72">
        <v>2261.6711869794999</v>
      </c>
      <c r="S72">
        <v>2492.8616631586001</v>
      </c>
      <c r="T72">
        <v>17264.3</v>
      </c>
      <c r="U72">
        <f t="shared" si="3"/>
        <v>54230.848642956596</v>
      </c>
    </row>
    <row r="73" spans="1:21" x14ac:dyDescent="0.25">
      <c r="A73" t="s">
        <v>27</v>
      </c>
      <c r="B73" t="str">
        <f t="shared" si="4"/>
        <v>68407700</v>
      </c>
      <c r="C73" t="s">
        <v>79</v>
      </c>
      <c r="D73">
        <v>21220</v>
      </c>
      <c r="E73" t="s">
        <v>313</v>
      </c>
      <c r="F73">
        <v>1437</v>
      </c>
      <c r="G73">
        <v>13643.921142375</v>
      </c>
      <c r="H73">
        <v>12127.286228604</v>
      </c>
      <c r="I73">
        <v>0</v>
      </c>
      <c r="J73">
        <v>0</v>
      </c>
      <c r="K73">
        <v>0</v>
      </c>
      <c r="L73">
        <v>60</v>
      </c>
      <c r="M73">
        <v>0.02</v>
      </c>
      <c r="N73">
        <v>4028.81</v>
      </c>
      <c r="O73">
        <v>3630.05</v>
      </c>
      <c r="P73">
        <v>170</v>
      </c>
      <c r="Q73">
        <v>115.90476083755</v>
      </c>
      <c r="R73">
        <v>3640.4690404759999</v>
      </c>
      <c r="S73">
        <v>3756.3738013135999</v>
      </c>
      <c r="T73">
        <v>22689.7</v>
      </c>
      <c r="U73">
        <f t="shared" si="3"/>
        <v>42203.410029917599</v>
      </c>
    </row>
    <row r="74" spans="1:21" x14ac:dyDescent="0.25">
      <c r="A74" t="s">
        <v>27</v>
      </c>
      <c r="B74" t="str">
        <f t="shared" si="4"/>
        <v>68407700</v>
      </c>
      <c r="C74" t="s">
        <v>79</v>
      </c>
      <c r="D74">
        <v>21230</v>
      </c>
      <c r="E74" t="s">
        <v>314</v>
      </c>
      <c r="F74">
        <v>3032</v>
      </c>
      <c r="G74">
        <v>52382.789699729998</v>
      </c>
      <c r="H74">
        <v>43570.68764104</v>
      </c>
      <c r="I74">
        <v>0</v>
      </c>
      <c r="J74">
        <v>0</v>
      </c>
      <c r="K74">
        <v>0</v>
      </c>
      <c r="L74">
        <v>60</v>
      </c>
      <c r="M74">
        <v>6.77</v>
      </c>
      <c r="N74">
        <v>10458.9</v>
      </c>
      <c r="O74">
        <v>10807.6</v>
      </c>
      <c r="P74">
        <v>90</v>
      </c>
      <c r="Q74">
        <v>73.5</v>
      </c>
      <c r="R74">
        <v>2880.1172471711998</v>
      </c>
      <c r="S74">
        <v>2953.6172471711998</v>
      </c>
      <c r="T74">
        <v>17374.8</v>
      </c>
      <c r="U74">
        <f t="shared" si="3"/>
        <v>74706.704888211199</v>
      </c>
    </row>
    <row r="75" spans="1:21" x14ac:dyDescent="0.25">
      <c r="A75" t="s">
        <v>27</v>
      </c>
      <c r="B75" t="str">
        <f t="shared" si="4"/>
        <v>68407700</v>
      </c>
      <c r="C75" t="s">
        <v>79</v>
      </c>
      <c r="D75">
        <v>21240</v>
      </c>
      <c r="E75" t="s">
        <v>315</v>
      </c>
      <c r="F75">
        <v>295</v>
      </c>
      <c r="G75">
        <v>3790.5259031831001</v>
      </c>
      <c r="H75">
        <v>2509.7104167558</v>
      </c>
      <c r="I75">
        <v>0</v>
      </c>
      <c r="J75">
        <v>0</v>
      </c>
      <c r="K75">
        <v>0</v>
      </c>
      <c r="L75">
        <v>60</v>
      </c>
      <c r="M75">
        <v>0</v>
      </c>
      <c r="N75">
        <v>258.88900000000001</v>
      </c>
      <c r="O75">
        <v>233</v>
      </c>
      <c r="P75">
        <v>0</v>
      </c>
      <c r="Q75">
        <v>0</v>
      </c>
      <c r="R75">
        <v>143.12380807549999</v>
      </c>
      <c r="S75">
        <v>143.12380807549999</v>
      </c>
      <c r="T75">
        <v>866.95100000000002</v>
      </c>
      <c r="U75">
        <f t="shared" si="3"/>
        <v>3752.7852248313002</v>
      </c>
    </row>
    <row r="76" spans="1:21" x14ac:dyDescent="0.25">
      <c r="A76" t="s">
        <v>27</v>
      </c>
      <c r="B76" t="str">
        <f t="shared" si="4"/>
        <v>68407700</v>
      </c>
      <c r="C76" t="s">
        <v>79</v>
      </c>
      <c r="D76">
        <v>21260</v>
      </c>
      <c r="E76" t="s">
        <v>316</v>
      </c>
      <c r="F76">
        <v>653</v>
      </c>
      <c r="G76">
        <v>4849.9741126886001</v>
      </c>
      <c r="H76">
        <v>3631.0401351311998</v>
      </c>
      <c r="I76">
        <v>0</v>
      </c>
      <c r="J76">
        <v>0</v>
      </c>
      <c r="K76">
        <v>0</v>
      </c>
      <c r="L76">
        <v>60</v>
      </c>
      <c r="M76">
        <v>0.27</v>
      </c>
      <c r="N76">
        <v>550.63499999999999</v>
      </c>
      <c r="O76">
        <v>551.18899999999996</v>
      </c>
      <c r="P76">
        <v>0</v>
      </c>
      <c r="Q76">
        <v>0</v>
      </c>
      <c r="R76">
        <v>597.80178970930001</v>
      </c>
      <c r="S76">
        <v>597.80178970930001</v>
      </c>
      <c r="T76">
        <v>2716.07</v>
      </c>
      <c r="U76">
        <f t="shared" si="3"/>
        <v>7496.1009248404989</v>
      </c>
    </row>
    <row r="77" spans="1:21" x14ac:dyDescent="0.25">
      <c r="A77" t="s">
        <v>27</v>
      </c>
      <c r="B77" t="str">
        <f t="shared" si="4"/>
        <v>68407700</v>
      </c>
      <c r="C77" t="s">
        <v>79</v>
      </c>
      <c r="D77">
        <v>21340</v>
      </c>
      <c r="E77" t="s">
        <v>317</v>
      </c>
      <c r="F77">
        <v>2124</v>
      </c>
      <c r="G77">
        <v>25207.873146417001</v>
      </c>
      <c r="H77">
        <v>28980.250399012999</v>
      </c>
      <c r="I77">
        <v>0</v>
      </c>
      <c r="J77">
        <v>0</v>
      </c>
      <c r="K77">
        <v>0</v>
      </c>
      <c r="L77">
        <v>60</v>
      </c>
      <c r="M77">
        <v>0.03</v>
      </c>
      <c r="N77">
        <v>4747.88</v>
      </c>
      <c r="O77">
        <v>4279.2700000000004</v>
      </c>
      <c r="P77">
        <v>150</v>
      </c>
      <c r="Q77">
        <v>91.666664123535</v>
      </c>
      <c r="R77">
        <v>990.31594567850004</v>
      </c>
      <c r="S77">
        <v>1081.9826098020001</v>
      </c>
      <c r="T77">
        <v>4477.6099999999997</v>
      </c>
      <c r="U77">
        <f t="shared" si="3"/>
        <v>38819.113008814995</v>
      </c>
    </row>
    <row r="78" spans="1:21" x14ac:dyDescent="0.25">
      <c r="A78" t="s">
        <v>27</v>
      </c>
      <c r="B78" t="str">
        <f t="shared" si="4"/>
        <v>68407700</v>
      </c>
      <c r="C78" t="s">
        <v>79</v>
      </c>
      <c r="D78">
        <v>21450</v>
      </c>
      <c r="E78" t="s">
        <v>318</v>
      </c>
      <c r="F78">
        <v>257</v>
      </c>
      <c r="G78">
        <v>3300.4017754719998</v>
      </c>
      <c r="H78">
        <v>2308.0360418308001</v>
      </c>
      <c r="I78">
        <v>0</v>
      </c>
      <c r="J78">
        <v>0</v>
      </c>
      <c r="K78">
        <v>0</v>
      </c>
      <c r="L78">
        <v>60</v>
      </c>
      <c r="M78">
        <v>0</v>
      </c>
      <c r="N78">
        <v>257.048</v>
      </c>
      <c r="O78">
        <v>231.34299999999999</v>
      </c>
      <c r="P78">
        <v>0</v>
      </c>
      <c r="Q78">
        <v>0</v>
      </c>
      <c r="R78">
        <v>164.230106992</v>
      </c>
      <c r="S78">
        <v>164.230106992</v>
      </c>
      <c r="T78">
        <v>779.93200000000002</v>
      </c>
      <c r="U78">
        <f t="shared" si="3"/>
        <v>3483.5411488228001</v>
      </c>
    </row>
    <row r="79" spans="1:21" x14ac:dyDescent="0.25">
      <c r="A79" t="s">
        <v>27</v>
      </c>
      <c r="B79" t="str">
        <f t="shared" si="4"/>
        <v>68407700</v>
      </c>
      <c r="C79" t="s">
        <v>79</v>
      </c>
      <c r="D79">
        <v>21460</v>
      </c>
      <c r="E79" t="s">
        <v>319</v>
      </c>
      <c r="F79">
        <v>386</v>
      </c>
      <c r="G79">
        <v>4051.2782317515998</v>
      </c>
      <c r="H79">
        <v>3776.3178584841999</v>
      </c>
      <c r="I79">
        <v>0</v>
      </c>
      <c r="J79">
        <v>0</v>
      </c>
      <c r="K79">
        <v>0</v>
      </c>
      <c r="L79">
        <v>60</v>
      </c>
      <c r="M79">
        <v>0</v>
      </c>
      <c r="N79">
        <v>656.53899999999999</v>
      </c>
      <c r="O79">
        <v>590.88499999999999</v>
      </c>
      <c r="P79">
        <v>0</v>
      </c>
      <c r="Q79">
        <v>0</v>
      </c>
      <c r="R79">
        <v>363.44836721259998</v>
      </c>
      <c r="S79">
        <v>363.44836721259998</v>
      </c>
      <c r="T79">
        <v>1977.6</v>
      </c>
      <c r="U79">
        <f t="shared" si="3"/>
        <v>6708.2512256968002</v>
      </c>
    </row>
    <row r="80" spans="1:21" x14ac:dyDescent="0.25">
      <c r="A80" t="s">
        <v>27</v>
      </c>
      <c r="B80" t="str">
        <f t="shared" si="4"/>
        <v>68407700</v>
      </c>
      <c r="C80" t="s">
        <v>79</v>
      </c>
      <c r="D80">
        <v>21610</v>
      </c>
      <c r="E80" t="s">
        <v>320</v>
      </c>
      <c r="F80">
        <v>193</v>
      </c>
      <c r="G80">
        <v>2818.1786786533999</v>
      </c>
      <c r="H80">
        <v>1643.2832771592</v>
      </c>
      <c r="I80">
        <v>0</v>
      </c>
      <c r="J80">
        <v>0</v>
      </c>
      <c r="K80">
        <v>0</v>
      </c>
      <c r="L80">
        <v>60</v>
      </c>
      <c r="M80">
        <v>1</v>
      </c>
      <c r="N80">
        <v>443.839</v>
      </c>
      <c r="O80">
        <v>605.44500000000005</v>
      </c>
      <c r="P80">
        <v>50</v>
      </c>
      <c r="Q80">
        <v>41.666666507720997</v>
      </c>
      <c r="R80">
        <v>511.06645187340001</v>
      </c>
      <c r="S80">
        <v>552.73311838109998</v>
      </c>
      <c r="T80">
        <v>2632.38</v>
      </c>
      <c r="U80">
        <f t="shared" si="3"/>
        <v>5433.8413955403003</v>
      </c>
    </row>
    <row r="81" spans="1:21" x14ac:dyDescent="0.25">
      <c r="A81" t="s">
        <v>27</v>
      </c>
      <c r="B81" t="str">
        <f t="shared" si="4"/>
        <v>68407700</v>
      </c>
      <c r="C81" t="s">
        <v>79</v>
      </c>
      <c r="D81">
        <v>21620</v>
      </c>
      <c r="E81" t="s">
        <v>321</v>
      </c>
      <c r="F81">
        <v>4</v>
      </c>
      <c r="G81">
        <v>16.888888888888999</v>
      </c>
      <c r="H81">
        <v>6.3446179669333</v>
      </c>
      <c r="I81">
        <v>0</v>
      </c>
      <c r="J81">
        <v>0</v>
      </c>
      <c r="K81">
        <v>0</v>
      </c>
      <c r="L81">
        <v>60</v>
      </c>
      <c r="M81">
        <v>0</v>
      </c>
      <c r="N81">
        <v>4.2435</v>
      </c>
      <c r="O81">
        <v>3.81915</v>
      </c>
      <c r="P81">
        <v>0</v>
      </c>
      <c r="Q81">
        <v>0</v>
      </c>
      <c r="R81">
        <v>4.7252908022</v>
      </c>
      <c r="S81">
        <v>4.7252908022</v>
      </c>
      <c r="T81">
        <v>91.420199999999994</v>
      </c>
      <c r="U81">
        <f t="shared" si="3"/>
        <v>106.30925876913329</v>
      </c>
    </row>
    <row r="82" spans="1:21" x14ac:dyDescent="0.25">
      <c r="A82" t="s">
        <v>27</v>
      </c>
      <c r="B82" t="str">
        <f t="shared" si="4"/>
        <v>68407700</v>
      </c>
      <c r="C82" t="s">
        <v>79</v>
      </c>
      <c r="D82">
        <v>21630</v>
      </c>
      <c r="E82" t="s">
        <v>322</v>
      </c>
      <c r="F82">
        <v>30</v>
      </c>
      <c r="G82">
        <v>302.71885699633998</v>
      </c>
      <c r="H82">
        <v>179.03557314286999</v>
      </c>
      <c r="I82">
        <v>0</v>
      </c>
      <c r="J82">
        <v>0</v>
      </c>
      <c r="K82">
        <v>0</v>
      </c>
      <c r="L82">
        <v>60</v>
      </c>
      <c r="M82">
        <v>0</v>
      </c>
      <c r="N82">
        <v>18.2178</v>
      </c>
      <c r="O82">
        <v>16.396000000000001</v>
      </c>
      <c r="P82">
        <v>0</v>
      </c>
      <c r="R82">
        <v>0</v>
      </c>
      <c r="S82">
        <v>0</v>
      </c>
      <c r="T82">
        <v>0</v>
      </c>
      <c r="U82">
        <f t="shared" si="3"/>
        <v>195.43157314286998</v>
      </c>
    </row>
    <row r="83" spans="1:21" x14ac:dyDescent="0.25">
      <c r="A83" t="s">
        <v>27</v>
      </c>
      <c r="B83" t="str">
        <f t="shared" si="4"/>
        <v>68407700</v>
      </c>
      <c r="C83" t="s">
        <v>79</v>
      </c>
      <c r="D83">
        <v>21650</v>
      </c>
      <c r="E83" t="s">
        <v>323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60</v>
      </c>
      <c r="M83">
        <v>0</v>
      </c>
      <c r="N83">
        <v>0</v>
      </c>
      <c r="O83">
        <v>0</v>
      </c>
      <c r="P83">
        <v>0</v>
      </c>
      <c r="R83">
        <v>0</v>
      </c>
      <c r="S83">
        <v>0</v>
      </c>
      <c r="T83">
        <v>0</v>
      </c>
      <c r="U83">
        <f t="shared" si="3"/>
        <v>0</v>
      </c>
    </row>
    <row r="84" spans="1:21" x14ac:dyDescent="0.25">
      <c r="A84" t="s">
        <v>27</v>
      </c>
      <c r="B84" t="str">
        <f t="shared" si="4"/>
        <v>68407700</v>
      </c>
      <c r="C84" t="s">
        <v>79</v>
      </c>
      <c r="D84">
        <v>21660</v>
      </c>
      <c r="E84" t="s">
        <v>324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60</v>
      </c>
      <c r="M84">
        <v>0</v>
      </c>
      <c r="N84">
        <v>0.2205</v>
      </c>
      <c r="O84">
        <v>0.19844999999999999</v>
      </c>
      <c r="P84">
        <v>0</v>
      </c>
      <c r="R84">
        <v>0</v>
      </c>
      <c r="S84">
        <v>0</v>
      </c>
      <c r="T84">
        <v>0</v>
      </c>
      <c r="U84">
        <f t="shared" si="3"/>
        <v>0.19844999999999999</v>
      </c>
    </row>
    <row r="85" spans="1:21" x14ac:dyDescent="0.25">
      <c r="A85" t="s">
        <v>27</v>
      </c>
      <c r="B85" t="str">
        <f t="shared" si="4"/>
        <v>68407700</v>
      </c>
      <c r="C85" t="s">
        <v>79</v>
      </c>
      <c r="D85">
        <v>21670</v>
      </c>
      <c r="E85" t="s">
        <v>325</v>
      </c>
      <c r="F85">
        <v>686</v>
      </c>
      <c r="G85">
        <v>6203.0633037915004</v>
      </c>
      <c r="H85">
        <v>8191.9948734791997</v>
      </c>
      <c r="I85">
        <v>0</v>
      </c>
      <c r="J85">
        <v>0</v>
      </c>
      <c r="K85">
        <v>0</v>
      </c>
      <c r="L85">
        <v>60</v>
      </c>
      <c r="M85">
        <v>0.77</v>
      </c>
      <c r="N85">
        <v>923.98199999999997</v>
      </c>
      <c r="O85">
        <v>990.19600000000003</v>
      </c>
      <c r="P85">
        <v>10</v>
      </c>
      <c r="Q85">
        <v>10</v>
      </c>
      <c r="R85">
        <v>440.20809113270002</v>
      </c>
      <c r="S85">
        <v>450.20809113270002</v>
      </c>
      <c r="T85">
        <v>1689.54</v>
      </c>
      <c r="U85">
        <f t="shared" si="3"/>
        <v>11321.938964611898</v>
      </c>
    </row>
    <row r="86" spans="1:21" x14ac:dyDescent="0.25">
      <c r="A86" t="s">
        <v>27</v>
      </c>
      <c r="B86" t="str">
        <f t="shared" si="4"/>
        <v>68407700</v>
      </c>
      <c r="C86" t="s">
        <v>79</v>
      </c>
      <c r="D86">
        <v>21680</v>
      </c>
      <c r="E86" t="s">
        <v>326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60</v>
      </c>
      <c r="M86">
        <v>0</v>
      </c>
      <c r="N86">
        <v>3.9329999999999998</v>
      </c>
      <c r="O86">
        <v>3.5396999999999998</v>
      </c>
      <c r="P86">
        <v>0</v>
      </c>
      <c r="R86">
        <v>0</v>
      </c>
      <c r="S86">
        <v>0</v>
      </c>
      <c r="T86">
        <v>0</v>
      </c>
      <c r="U86">
        <f t="shared" si="3"/>
        <v>3.5396999999999998</v>
      </c>
    </row>
    <row r="87" spans="1:21" x14ac:dyDescent="0.25">
      <c r="A87" t="s">
        <v>27</v>
      </c>
      <c r="B87" t="str">
        <f t="shared" si="4"/>
        <v>68407700</v>
      </c>
      <c r="C87" t="s">
        <v>79</v>
      </c>
      <c r="D87">
        <v>21690</v>
      </c>
      <c r="E87" t="s">
        <v>327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60</v>
      </c>
      <c r="M87">
        <v>0</v>
      </c>
      <c r="N87">
        <v>0</v>
      </c>
      <c r="O87">
        <v>0</v>
      </c>
      <c r="P87">
        <v>0</v>
      </c>
      <c r="R87">
        <v>0</v>
      </c>
      <c r="S87">
        <v>0</v>
      </c>
      <c r="T87">
        <v>0</v>
      </c>
      <c r="U87">
        <f t="shared" si="3"/>
        <v>0</v>
      </c>
    </row>
    <row r="88" spans="1:21" x14ac:dyDescent="0.25">
      <c r="A88" t="s">
        <v>27</v>
      </c>
      <c r="B88" t="str">
        <f t="shared" si="4"/>
        <v>68407700</v>
      </c>
      <c r="C88" t="s">
        <v>79</v>
      </c>
      <c r="D88">
        <v>21700</v>
      </c>
      <c r="E88" t="s">
        <v>328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60</v>
      </c>
      <c r="M88">
        <v>0</v>
      </c>
      <c r="N88">
        <v>0</v>
      </c>
      <c r="O88">
        <v>0</v>
      </c>
      <c r="P88">
        <v>0</v>
      </c>
      <c r="R88">
        <v>0</v>
      </c>
      <c r="S88">
        <v>0</v>
      </c>
      <c r="T88">
        <v>0</v>
      </c>
      <c r="U88">
        <f t="shared" si="3"/>
        <v>0</v>
      </c>
    </row>
    <row r="89" spans="1:21" x14ac:dyDescent="0.25">
      <c r="A89" t="s">
        <v>27</v>
      </c>
      <c r="B89" t="str">
        <f t="shared" si="4"/>
        <v>68407700</v>
      </c>
      <c r="C89" t="s">
        <v>79</v>
      </c>
      <c r="D89">
        <v>21710</v>
      </c>
      <c r="E89" t="s">
        <v>329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60</v>
      </c>
      <c r="M89">
        <v>0</v>
      </c>
      <c r="N89">
        <v>0.52380000000000004</v>
      </c>
      <c r="O89">
        <v>0.47142000000000001</v>
      </c>
      <c r="P89">
        <v>0</v>
      </c>
      <c r="R89">
        <v>0</v>
      </c>
      <c r="S89">
        <v>0</v>
      </c>
      <c r="T89">
        <v>99.308000000000007</v>
      </c>
      <c r="U89">
        <f t="shared" si="3"/>
        <v>99.779420000000002</v>
      </c>
    </row>
    <row r="90" spans="1:21" x14ac:dyDescent="0.25">
      <c r="A90" t="s">
        <v>27</v>
      </c>
      <c r="B90" t="str">
        <f t="shared" si="4"/>
        <v>68407700</v>
      </c>
      <c r="C90" t="s">
        <v>79</v>
      </c>
      <c r="D90">
        <v>21720</v>
      </c>
      <c r="E90" t="s">
        <v>330</v>
      </c>
      <c r="F90">
        <v>83</v>
      </c>
      <c r="G90">
        <v>887.26495896247002</v>
      </c>
      <c r="H90">
        <v>548.96397700882005</v>
      </c>
      <c r="I90">
        <v>0</v>
      </c>
      <c r="J90">
        <v>0</v>
      </c>
      <c r="K90">
        <v>0</v>
      </c>
      <c r="L90">
        <v>60</v>
      </c>
      <c r="M90">
        <v>0</v>
      </c>
      <c r="N90">
        <v>0.27989999999999998</v>
      </c>
      <c r="O90">
        <v>0.25191000000000002</v>
      </c>
      <c r="P90">
        <v>10</v>
      </c>
      <c r="Q90">
        <v>10</v>
      </c>
      <c r="R90">
        <v>296.4122416989</v>
      </c>
      <c r="S90">
        <v>306.4122416989</v>
      </c>
      <c r="T90">
        <v>71.706599999999995</v>
      </c>
      <c r="U90">
        <f t="shared" si="3"/>
        <v>927.33472870771993</v>
      </c>
    </row>
    <row r="91" spans="1:21" x14ac:dyDescent="0.25">
      <c r="A91" t="s">
        <v>27</v>
      </c>
      <c r="B91" t="str">
        <f t="shared" si="4"/>
        <v>68407700</v>
      </c>
      <c r="C91" t="s">
        <v>79</v>
      </c>
      <c r="D91">
        <v>21730</v>
      </c>
      <c r="E91" t="s">
        <v>331</v>
      </c>
      <c r="F91">
        <v>65</v>
      </c>
      <c r="G91">
        <v>748.21963769437002</v>
      </c>
      <c r="H91">
        <v>382.89988095772998</v>
      </c>
      <c r="I91">
        <v>1</v>
      </c>
      <c r="J91">
        <v>1</v>
      </c>
      <c r="K91">
        <v>2000</v>
      </c>
      <c r="L91">
        <v>60</v>
      </c>
      <c r="M91">
        <v>0</v>
      </c>
      <c r="N91">
        <v>0</v>
      </c>
      <c r="O91">
        <v>0</v>
      </c>
      <c r="P91">
        <v>0</v>
      </c>
      <c r="Q91">
        <v>0</v>
      </c>
      <c r="R91">
        <v>156.54363395370001</v>
      </c>
      <c r="S91">
        <v>156.54363395370001</v>
      </c>
      <c r="T91">
        <v>109.494</v>
      </c>
      <c r="U91">
        <f t="shared" si="3"/>
        <v>2648.9375149114303</v>
      </c>
    </row>
    <row r="92" spans="1:21" x14ac:dyDescent="0.25">
      <c r="A92" t="s">
        <v>27</v>
      </c>
      <c r="B92" t="str">
        <f t="shared" si="4"/>
        <v>68407700</v>
      </c>
      <c r="C92" t="s">
        <v>79</v>
      </c>
      <c r="D92">
        <v>21810</v>
      </c>
      <c r="E92" t="s">
        <v>332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60</v>
      </c>
      <c r="M92">
        <v>0</v>
      </c>
      <c r="N92">
        <v>0</v>
      </c>
      <c r="O92">
        <v>0</v>
      </c>
      <c r="P92">
        <v>0</v>
      </c>
      <c r="R92">
        <v>0</v>
      </c>
      <c r="S92">
        <v>0</v>
      </c>
      <c r="T92">
        <v>0</v>
      </c>
      <c r="U92">
        <f t="shared" si="3"/>
        <v>0</v>
      </c>
    </row>
    <row r="93" spans="1:21" x14ac:dyDescent="0.25">
      <c r="A93" t="s">
        <v>27</v>
      </c>
      <c r="B93" t="str">
        <f t="shared" si="4"/>
        <v>68407700</v>
      </c>
      <c r="C93" t="s">
        <v>79</v>
      </c>
      <c r="D93">
        <v>21830</v>
      </c>
      <c r="E93" t="s">
        <v>333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60</v>
      </c>
      <c r="M93">
        <v>0</v>
      </c>
      <c r="N93">
        <v>0</v>
      </c>
      <c r="O93">
        <v>0</v>
      </c>
      <c r="P93">
        <v>0</v>
      </c>
      <c r="R93">
        <v>0</v>
      </c>
      <c r="S93">
        <v>0</v>
      </c>
      <c r="T93">
        <v>0</v>
      </c>
      <c r="U93">
        <f t="shared" si="3"/>
        <v>0</v>
      </c>
    </row>
    <row r="94" spans="1:21" x14ac:dyDescent="0.25">
      <c r="A94" t="s">
        <v>58</v>
      </c>
      <c r="B94" t="str">
        <f>"00020699"</f>
        <v>00020699</v>
      </c>
      <c r="C94" t="s">
        <v>80</v>
      </c>
      <c r="F94">
        <v>22</v>
      </c>
      <c r="G94">
        <v>315.78715814540999</v>
      </c>
      <c r="H94">
        <v>266.75093382347001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18.2501231428</v>
      </c>
      <c r="S94">
        <v>18.2501231428</v>
      </c>
      <c r="T94">
        <v>0</v>
      </c>
      <c r="U94">
        <f t="shared" si="3"/>
        <v>285.00105696627003</v>
      </c>
    </row>
    <row r="95" spans="1:21" x14ac:dyDescent="0.25">
      <c r="A95" t="s">
        <v>63</v>
      </c>
      <c r="B95" t="str">
        <f>"00177016"</f>
        <v>00177016</v>
      </c>
      <c r="C95" t="s">
        <v>81</v>
      </c>
      <c r="F95">
        <v>175</v>
      </c>
      <c r="G95">
        <v>2959.0761254721001</v>
      </c>
      <c r="H95">
        <v>3123.4228039803002</v>
      </c>
      <c r="I95">
        <v>0</v>
      </c>
      <c r="J95">
        <v>0</v>
      </c>
      <c r="K95">
        <v>0</v>
      </c>
      <c r="L95">
        <v>1.6</v>
      </c>
      <c r="M95">
        <v>0</v>
      </c>
      <c r="N95">
        <v>443.976</v>
      </c>
      <c r="O95">
        <v>399.57799999999997</v>
      </c>
      <c r="P95">
        <v>0</v>
      </c>
      <c r="Q95">
        <v>0</v>
      </c>
      <c r="R95">
        <v>810.43987580810006</v>
      </c>
      <c r="S95">
        <v>810.43987580810006</v>
      </c>
      <c r="T95">
        <v>1887.76</v>
      </c>
      <c r="U95">
        <f t="shared" si="3"/>
        <v>6221.2006797884005</v>
      </c>
    </row>
    <row r="96" spans="1:21" x14ac:dyDescent="0.25">
      <c r="A96" t="s">
        <v>27</v>
      </c>
      <c r="B96" t="str">
        <f>"26733544"</f>
        <v>26733544</v>
      </c>
      <c r="C96" t="s">
        <v>82</v>
      </c>
      <c r="F96">
        <v>2</v>
      </c>
      <c r="G96">
        <v>42.711968864469</v>
      </c>
      <c r="H96">
        <v>33.538832335858999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30.493876643499998</v>
      </c>
      <c r="S96">
        <v>30.493876643499998</v>
      </c>
      <c r="T96">
        <v>0</v>
      </c>
      <c r="U96">
        <f t="shared" si="3"/>
        <v>64.032708979359001</v>
      </c>
    </row>
    <row r="97" spans="1:21" x14ac:dyDescent="0.25">
      <c r="A97" t="s">
        <v>65</v>
      </c>
      <c r="B97" t="str">
        <f>"00023761"</f>
        <v>00023761</v>
      </c>
      <c r="C97" t="s">
        <v>83</v>
      </c>
      <c r="F97">
        <v>224</v>
      </c>
      <c r="G97">
        <v>3248.8463863975999</v>
      </c>
      <c r="H97">
        <v>2816.4649989138002</v>
      </c>
      <c r="I97">
        <v>0</v>
      </c>
      <c r="J97">
        <v>0</v>
      </c>
      <c r="K97">
        <v>0</v>
      </c>
      <c r="L97">
        <v>1</v>
      </c>
      <c r="M97">
        <v>0</v>
      </c>
      <c r="N97">
        <v>331.36500000000001</v>
      </c>
      <c r="O97">
        <v>298.22800000000001</v>
      </c>
      <c r="P97">
        <v>0</v>
      </c>
      <c r="Q97">
        <v>0</v>
      </c>
      <c r="R97">
        <v>374.60005350590001</v>
      </c>
      <c r="S97">
        <v>374.60005350590001</v>
      </c>
      <c r="T97">
        <v>1663.67</v>
      </c>
      <c r="U97">
        <f t="shared" si="3"/>
        <v>5152.9630524197</v>
      </c>
    </row>
    <row r="98" spans="1:21" x14ac:dyDescent="0.25">
      <c r="A98" t="s">
        <v>27</v>
      </c>
      <c r="B98" t="str">
        <f>"25173154"</f>
        <v>25173154</v>
      </c>
      <c r="C98" t="s">
        <v>84</v>
      </c>
      <c r="F98">
        <v>47</v>
      </c>
      <c r="G98">
        <v>545.59485662236</v>
      </c>
      <c r="H98">
        <v>522.72883657438001</v>
      </c>
      <c r="I98">
        <v>0</v>
      </c>
      <c r="J98">
        <v>0</v>
      </c>
      <c r="K98">
        <v>0</v>
      </c>
      <c r="L98">
        <v>1</v>
      </c>
      <c r="M98">
        <v>0</v>
      </c>
      <c r="N98">
        <v>139.40799999999999</v>
      </c>
      <c r="O98">
        <v>125.467</v>
      </c>
      <c r="P98">
        <v>0</v>
      </c>
      <c r="Q98">
        <v>0</v>
      </c>
      <c r="R98">
        <v>171.45455159619999</v>
      </c>
      <c r="S98">
        <v>171.45455159619999</v>
      </c>
      <c r="T98">
        <v>362.63200000000001</v>
      </c>
      <c r="U98">
        <f t="shared" si="3"/>
        <v>1182.2823881705799</v>
      </c>
    </row>
    <row r="99" spans="1:21" x14ac:dyDescent="0.25">
      <c r="A99" t="s">
        <v>42</v>
      </c>
      <c r="B99" t="str">
        <f>"68378076"</f>
        <v>68378076</v>
      </c>
      <c r="C99" t="s">
        <v>85</v>
      </c>
      <c r="F99">
        <v>261</v>
      </c>
      <c r="G99">
        <v>3761.3716435371998</v>
      </c>
      <c r="H99">
        <v>3148.3024513810001</v>
      </c>
      <c r="I99">
        <v>0</v>
      </c>
      <c r="J99">
        <v>0</v>
      </c>
      <c r="K99">
        <v>0</v>
      </c>
      <c r="L99">
        <v>2</v>
      </c>
      <c r="M99">
        <v>0</v>
      </c>
      <c r="N99">
        <v>361.16699999999997</v>
      </c>
      <c r="O99">
        <v>325.05</v>
      </c>
      <c r="P99">
        <v>0</v>
      </c>
      <c r="Q99">
        <v>0</v>
      </c>
      <c r="R99">
        <v>4.7882946795999999</v>
      </c>
      <c r="S99">
        <v>4.7882946795999999</v>
      </c>
      <c r="T99">
        <v>39.532499999999999</v>
      </c>
      <c r="U99">
        <f t="shared" si="3"/>
        <v>3517.6732460605999</v>
      </c>
    </row>
    <row r="100" spans="1:21" x14ac:dyDescent="0.25">
      <c r="A100" t="s">
        <v>65</v>
      </c>
      <c r="B100" t="str">
        <f>"65269705"</f>
        <v>65269705</v>
      </c>
      <c r="C100" t="s">
        <v>86</v>
      </c>
      <c r="F100">
        <v>903</v>
      </c>
      <c r="G100">
        <v>7960.7465409526003</v>
      </c>
      <c r="H100">
        <v>7112.5070363591003</v>
      </c>
      <c r="I100">
        <v>0</v>
      </c>
      <c r="J100">
        <v>0</v>
      </c>
      <c r="K100">
        <v>0</v>
      </c>
      <c r="L100">
        <v>3</v>
      </c>
      <c r="M100">
        <v>0.78</v>
      </c>
      <c r="N100">
        <v>1091.97</v>
      </c>
      <c r="O100">
        <v>1107.55</v>
      </c>
      <c r="P100">
        <v>0</v>
      </c>
      <c r="Q100">
        <v>0</v>
      </c>
      <c r="R100">
        <v>890.32879230399999</v>
      </c>
      <c r="S100">
        <v>890.32879230399999</v>
      </c>
      <c r="T100">
        <v>2353.92</v>
      </c>
      <c r="U100">
        <f t="shared" si="3"/>
        <v>11464.3058286631</v>
      </c>
    </row>
    <row r="101" spans="1:21" x14ac:dyDescent="0.25">
      <c r="A101" t="s">
        <v>65</v>
      </c>
      <c r="B101" t="str">
        <f>"00179906"</f>
        <v>00179906</v>
      </c>
      <c r="C101" t="s">
        <v>87</v>
      </c>
      <c r="F101">
        <v>1280</v>
      </c>
      <c r="G101">
        <v>11288.604765508</v>
      </c>
      <c r="H101">
        <v>10060.436433437</v>
      </c>
      <c r="I101">
        <v>0</v>
      </c>
      <c r="J101">
        <v>0</v>
      </c>
      <c r="K101">
        <v>0</v>
      </c>
      <c r="L101">
        <v>3</v>
      </c>
      <c r="M101">
        <v>0.5</v>
      </c>
      <c r="N101">
        <v>1117.76</v>
      </c>
      <c r="O101">
        <v>1087.8599999999999</v>
      </c>
      <c r="P101">
        <v>30</v>
      </c>
      <c r="Q101">
        <v>20.714285850524998</v>
      </c>
      <c r="R101">
        <v>1335.1151651919999</v>
      </c>
      <c r="S101">
        <v>1355.8294510425001</v>
      </c>
      <c r="T101">
        <v>2648.64</v>
      </c>
      <c r="U101">
        <f t="shared" si="3"/>
        <v>15152.765884479501</v>
      </c>
    </row>
    <row r="102" spans="1:21" x14ac:dyDescent="0.25">
      <c r="A102" t="s">
        <v>65</v>
      </c>
      <c r="B102" t="str">
        <f>"00064173"</f>
        <v>00064173</v>
      </c>
      <c r="C102" t="s">
        <v>88</v>
      </c>
      <c r="F102">
        <v>441</v>
      </c>
      <c r="G102">
        <v>3185.5602375898002</v>
      </c>
      <c r="H102">
        <v>2886.3347699968999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300.52499999999998</v>
      </c>
      <c r="O102">
        <v>270.47300000000001</v>
      </c>
      <c r="P102">
        <v>0</v>
      </c>
      <c r="Q102">
        <v>0</v>
      </c>
      <c r="R102">
        <v>335.15962627689998</v>
      </c>
      <c r="S102">
        <v>335.15962627689998</v>
      </c>
      <c r="T102">
        <v>802.85799999999995</v>
      </c>
      <c r="U102">
        <f t="shared" si="3"/>
        <v>4294.8253962737999</v>
      </c>
    </row>
    <row r="103" spans="1:21" x14ac:dyDescent="0.25">
      <c r="A103" t="s">
        <v>65</v>
      </c>
      <c r="B103" t="str">
        <f>"00098892"</f>
        <v>00098892</v>
      </c>
      <c r="C103" t="s">
        <v>89</v>
      </c>
      <c r="F103">
        <v>360</v>
      </c>
      <c r="G103">
        <v>2917.1707536022</v>
      </c>
      <c r="H103">
        <v>2578.5314034183998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127.238</v>
      </c>
      <c r="O103">
        <v>114.514</v>
      </c>
      <c r="P103">
        <v>0</v>
      </c>
      <c r="Q103">
        <v>0</v>
      </c>
      <c r="R103">
        <v>464.80060459679999</v>
      </c>
      <c r="S103">
        <v>464.80060459679999</v>
      </c>
      <c r="T103">
        <v>1683.32</v>
      </c>
      <c r="U103">
        <f t="shared" si="3"/>
        <v>4841.1660080151996</v>
      </c>
    </row>
    <row r="104" spans="1:21" x14ac:dyDescent="0.25">
      <c r="A104" t="s">
        <v>65</v>
      </c>
      <c r="B104" t="str">
        <f>"00843989"</f>
        <v>00843989</v>
      </c>
      <c r="C104" t="s">
        <v>90</v>
      </c>
      <c r="F104">
        <v>454</v>
      </c>
      <c r="G104">
        <v>5194.8461042803001</v>
      </c>
      <c r="H104">
        <v>4583.6275447793996</v>
      </c>
      <c r="I104">
        <v>0</v>
      </c>
      <c r="J104">
        <v>0</v>
      </c>
      <c r="K104">
        <v>0</v>
      </c>
      <c r="L104">
        <v>2</v>
      </c>
      <c r="M104">
        <v>0</v>
      </c>
      <c r="N104">
        <v>728.18700000000001</v>
      </c>
      <c r="O104">
        <v>655.36800000000005</v>
      </c>
      <c r="P104">
        <v>0</v>
      </c>
      <c r="Q104">
        <v>0</v>
      </c>
      <c r="R104">
        <v>143.9218571888</v>
      </c>
      <c r="S104">
        <v>143.9218571888</v>
      </c>
      <c r="T104">
        <v>834.37599999999998</v>
      </c>
      <c r="U104">
        <f t="shared" si="3"/>
        <v>6217.2934019681998</v>
      </c>
    </row>
    <row r="105" spans="1:21" x14ac:dyDescent="0.25">
      <c r="A105" t="s">
        <v>65</v>
      </c>
      <c r="B105" t="str">
        <f>"00669806"</f>
        <v>00669806</v>
      </c>
      <c r="C105" t="s">
        <v>91</v>
      </c>
      <c r="F105">
        <v>486</v>
      </c>
      <c r="G105">
        <v>4320.9589556656001</v>
      </c>
      <c r="H105">
        <v>3729.5159949193999</v>
      </c>
      <c r="I105">
        <v>0</v>
      </c>
      <c r="J105">
        <v>0</v>
      </c>
      <c r="K105">
        <v>0</v>
      </c>
      <c r="L105">
        <v>2</v>
      </c>
      <c r="M105">
        <v>0.85</v>
      </c>
      <c r="N105">
        <v>638.16099999999994</v>
      </c>
      <c r="O105">
        <v>693.54200000000003</v>
      </c>
      <c r="P105">
        <v>0</v>
      </c>
      <c r="Q105">
        <v>0</v>
      </c>
      <c r="R105">
        <v>189.0536346728</v>
      </c>
      <c r="S105">
        <v>189.0536346728</v>
      </c>
      <c r="T105">
        <v>639.89800000000002</v>
      </c>
      <c r="U105">
        <f t="shared" si="3"/>
        <v>5252.0096295922003</v>
      </c>
    </row>
    <row r="106" spans="1:21" x14ac:dyDescent="0.25">
      <c r="A106" t="s">
        <v>65</v>
      </c>
      <c r="B106" t="str">
        <f>"00159816"</f>
        <v>00159816</v>
      </c>
      <c r="C106" t="s">
        <v>92</v>
      </c>
      <c r="F106">
        <v>935</v>
      </c>
      <c r="G106">
        <v>10722.084074484999</v>
      </c>
      <c r="H106">
        <v>9268.6345304631996</v>
      </c>
      <c r="I106">
        <v>0</v>
      </c>
      <c r="J106">
        <v>0</v>
      </c>
      <c r="K106">
        <v>0</v>
      </c>
      <c r="L106">
        <v>1</v>
      </c>
      <c r="M106">
        <v>0.2</v>
      </c>
      <c r="N106">
        <v>476.61900000000003</v>
      </c>
      <c r="O106">
        <v>470.851</v>
      </c>
      <c r="P106">
        <v>10</v>
      </c>
      <c r="Q106">
        <v>5</v>
      </c>
      <c r="R106">
        <v>339.1498718432</v>
      </c>
      <c r="S106">
        <v>344.1498718432</v>
      </c>
      <c r="T106">
        <v>1081.5</v>
      </c>
      <c r="U106">
        <f t="shared" si="3"/>
        <v>11165.1354023064</v>
      </c>
    </row>
    <row r="107" spans="1:21" x14ac:dyDescent="0.25">
      <c r="A107" t="s">
        <v>65</v>
      </c>
      <c r="B107" t="str">
        <f>"00064203"</f>
        <v>00064203</v>
      </c>
      <c r="C107" t="s">
        <v>93</v>
      </c>
      <c r="F107">
        <v>1677</v>
      </c>
      <c r="G107">
        <v>14280.735991632</v>
      </c>
      <c r="H107">
        <v>12751.832838549</v>
      </c>
      <c r="I107">
        <v>0</v>
      </c>
      <c r="J107">
        <v>0</v>
      </c>
      <c r="K107">
        <v>0</v>
      </c>
      <c r="L107">
        <v>6</v>
      </c>
      <c r="M107">
        <v>0.9</v>
      </c>
      <c r="N107">
        <v>2306.6999999999998</v>
      </c>
      <c r="O107">
        <v>2228.09</v>
      </c>
      <c r="P107">
        <v>0</v>
      </c>
      <c r="Q107">
        <v>0</v>
      </c>
      <c r="R107">
        <v>893.73100168159999</v>
      </c>
      <c r="S107">
        <v>893.73100168159999</v>
      </c>
      <c r="T107">
        <v>2589.46</v>
      </c>
      <c r="U107">
        <f t="shared" si="3"/>
        <v>18463.113840230599</v>
      </c>
    </row>
    <row r="108" spans="1:21" x14ac:dyDescent="0.25">
      <c r="A108" t="s">
        <v>42</v>
      </c>
      <c r="B108" t="str">
        <f>"67985955"</f>
        <v>67985955</v>
      </c>
      <c r="C108" t="s">
        <v>94</v>
      </c>
      <c r="F108">
        <v>958</v>
      </c>
      <c r="G108">
        <v>14398.15380272</v>
      </c>
      <c r="H108">
        <v>11236.441354643999</v>
      </c>
      <c r="I108">
        <v>0</v>
      </c>
      <c r="J108">
        <v>0</v>
      </c>
      <c r="K108">
        <v>0</v>
      </c>
      <c r="L108">
        <v>6.4</v>
      </c>
      <c r="M108">
        <v>1</v>
      </c>
      <c r="N108">
        <v>1464.54</v>
      </c>
      <c r="O108">
        <v>1418.66</v>
      </c>
      <c r="P108">
        <v>0</v>
      </c>
      <c r="Q108">
        <v>0</v>
      </c>
      <c r="R108">
        <v>62.373838589000002</v>
      </c>
      <c r="S108">
        <v>62.373838589000002</v>
      </c>
      <c r="T108">
        <v>107.048</v>
      </c>
      <c r="U108">
        <f t="shared" si="3"/>
        <v>12824.523193232999</v>
      </c>
    </row>
    <row r="109" spans="1:21" x14ac:dyDescent="0.25">
      <c r="A109" t="s">
        <v>42</v>
      </c>
      <c r="B109" t="str">
        <f>"68378271"</f>
        <v>68378271</v>
      </c>
      <c r="C109" t="s">
        <v>95</v>
      </c>
      <c r="F109">
        <v>3255</v>
      </c>
      <c r="G109">
        <v>66384.098299364996</v>
      </c>
      <c r="H109">
        <v>92640.065079717999</v>
      </c>
      <c r="I109">
        <v>1</v>
      </c>
      <c r="J109">
        <v>1</v>
      </c>
      <c r="K109">
        <v>2000</v>
      </c>
      <c r="L109">
        <v>30.6</v>
      </c>
      <c r="M109">
        <v>8.93</v>
      </c>
      <c r="N109">
        <v>13536.9</v>
      </c>
      <c r="O109">
        <v>13919.4</v>
      </c>
      <c r="P109">
        <v>350</v>
      </c>
      <c r="Q109">
        <v>182.19047641754</v>
      </c>
      <c r="R109">
        <v>299.6464407368</v>
      </c>
      <c r="S109">
        <v>481.83691715430001</v>
      </c>
      <c r="T109">
        <v>1649.45</v>
      </c>
      <c r="U109">
        <f t="shared" si="3"/>
        <v>110690.75199687229</v>
      </c>
    </row>
    <row r="110" spans="1:21" x14ac:dyDescent="0.25">
      <c r="A110" t="s">
        <v>42</v>
      </c>
      <c r="B110" t="str">
        <f>"67985823"</f>
        <v>67985823</v>
      </c>
      <c r="C110" t="s">
        <v>96</v>
      </c>
      <c r="F110">
        <v>737</v>
      </c>
      <c r="G110">
        <v>18793.821650716</v>
      </c>
      <c r="H110">
        <v>17612.423208212</v>
      </c>
      <c r="I110">
        <v>0</v>
      </c>
      <c r="J110">
        <v>0</v>
      </c>
      <c r="K110">
        <v>0</v>
      </c>
      <c r="L110">
        <v>11</v>
      </c>
      <c r="M110">
        <v>2</v>
      </c>
      <c r="N110">
        <v>3023.12</v>
      </c>
      <c r="O110">
        <v>2962.37</v>
      </c>
      <c r="P110">
        <v>200</v>
      </c>
      <c r="Q110">
        <v>28.57142829895</v>
      </c>
      <c r="R110">
        <v>734.79322038810005</v>
      </c>
      <c r="S110">
        <v>763.36464868710004</v>
      </c>
      <c r="T110">
        <v>2351.0700000000002</v>
      </c>
      <c r="U110">
        <f t="shared" si="3"/>
        <v>23689.227856899099</v>
      </c>
    </row>
    <row r="111" spans="1:21" x14ac:dyDescent="0.25">
      <c r="A111" t="s">
        <v>27</v>
      </c>
      <c r="B111" t="str">
        <f>"60702672"</f>
        <v>60702672</v>
      </c>
      <c r="C111" t="s">
        <v>97</v>
      </c>
      <c r="F111">
        <v>4</v>
      </c>
      <c r="G111">
        <v>66.954001665115001</v>
      </c>
      <c r="H111">
        <v>71.893000602721997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15.4346</v>
      </c>
      <c r="O111">
        <v>13.8911</v>
      </c>
      <c r="P111">
        <v>0</v>
      </c>
      <c r="Q111">
        <v>0</v>
      </c>
      <c r="R111">
        <v>43.745692182100001</v>
      </c>
      <c r="S111">
        <v>43.745692182100001</v>
      </c>
      <c r="T111">
        <v>54.628900000000002</v>
      </c>
      <c r="U111">
        <f t="shared" si="3"/>
        <v>184.15869278482199</v>
      </c>
    </row>
    <row r="112" spans="1:21" x14ac:dyDescent="0.25">
      <c r="A112" t="s">
        <v>42</v>
      </c>
      <c r="B112" t="str">
        <f>"67985530"</f>
        <v>67985530</v>
      </c>
      <c r="C112" t="s">
        <v>98</v>
      </c>
      <c r="F112">
        <v>207</v>
      </c>
      <c r="G112">
        <v>5436.1938773534002</v>
      </c>
      <c r="H112">
        <v>5176.5228436578</v>
      </c>
      <c r="I112">
        <v>0</v>
      </c>
      <c r="J112">
        <v>0</v>
      </c>
      <c r="K112">
        <v>0</v>
      </c>
      <c r="L112">
        <v>5.7</v>
      </c>
      <c r="M112">
        <v>0.8</v>
      </c>
      <c r="N112">
        <v>770.596</v>
      </c>
      <c r="O112">
        <v>741.06799999999998</v>
      </c>
      <c r="P112">
        <v>0</v>
      </c>
      <c r="Q112">
        <v>0</v>
      </c>
      <c r="R112">
        <v>15.225937029300001</v>
      </c>
      <c r="S112">
        <v>15.225937029300001</v>
      </c>
      <c r="T112">
        <v>131.071</v>
      </c>
      <c r="U112">
        <f t="shared" si="3"/>
        <v>6063.8877806871005</v>
      </c>
    </row>
    <row r="113" spans="1:21" x14ac:dyDescent="0.25">
      <c r="A113" t="s">
        <v>42</v>
      </c>
      <c r="B113" t="str">
        <f>"67985831"</f>
        <v>67985831</v>
      </c>
      <c r="C113" t="s">
        <v>99</v>
      </c>
      <c r="F113">
        <v>412</v>
      </c>
      <c r="G113">
        <v>6272.8841052862999</v>
      </c>
      <c r="H113">
        <v>5925.2993111753003</v>
      </c>
      <c r="I113">
        <v>0</v>
      </c>
      <c r="J113">
        <v>0</v>
      </c>
      <c r="K113">
        <v>0</v>
      </c>
      <c r="L113">
        <v>4</v>
      </c>
      <c r="M113">
        <v>0</v>
      </c>
      <c r="N113">
        <v>614.38900000000001</v>
      </c>
      <c r="O113">
        <v>552.95000000000005</v>
      </c>
      <c r="P113">
        <v>0</v>
      </c>
      <c r="Q113">
        <v>0</v>
      </c>
      <c r="R113">
        <v>14.427887916</v>
      </c>
      <c r="S113">
        <v>14.427887916</v>
      </c>
      <c r="T113">
        <v>199.28100000000001</v>
      </c>
      <c r="U113">
        <f t="shared" si="3"/>
        <v>6691.9581990913002</v>
      </c>
    </row>
    <row r="114" spans="1:21" x14ac:dyDescent="0.25">
      <c r="A114" t="s">
        <v>42</v>
      </c>
      <c r="B114" t="str">
        <f>"67985963"</f>
        <v>67985963</v>
      </c>
      <c r="C114" t="s">
        <v>100</v>
      </c>
      <c r="F114">
        <v>579</v>
      </c>
      <c r="G114">
        <v>8791.9127460762993</v>
      </c>
      <c r="H114">
        <v>7299.4480632092</v>
      </c>
      <c r="I114">
        <v>0</v>
      </c>
      <c r="J114">
        <v>0</v>
      </c>
      <c r="K114">
        <v>0</v>
      </c>
      <c r="L114">
        <v>4</v>
      </c>
      <c r="M114">
        <v>0.63</v>
      </c>
      <c r="N114">
        <v>863.64499999999998</v>
      </c>
      <c r="O114">
        <v>837.06100000000004</v>
      </c>
      <c r="P114">
        <v>0</v>
      </c>
      <c r="Q114">
        <v>0</v>
      </c>
      <c r="R114">
        <v>122.017509159</v>
      </c>
      <c r="S114">
        <v>122.017509159</v>
      </c>
      <c r="T114">
        <v>353.56799999999998</v>
      </c>
      <c r="U114">
        <f t="shared" si="3"/>
        <v>8612.0945723681998</v>
      </c>
    </row>
    <row r="115" spans="1:21" x14ac:dyDescent="0.25">
      <c r="A115" t="s">
        <v>101</v>
      </c>
      <c r="B115" t="str">
        <f>"00072486"</f>
        <v>00072486</v>
      </c>
      <c r="C115" t="s">
        <v>102</v>
      </c>
      <c r="F115">
        <v>11</v>
      </c>
      <c r="G115">
        <v>125.62308998301999</v>
      </c>
      <c r="H115">
        <v>73.386987139900995</v>
      </c>
      <c r="I115">
        <v>0</v>
      </c>
      <c r="J115">
        <v>0</v>
      </c>
      <c r="K115">
        <v>0</v>
      </c>
      <c r="L115">
        <v>1</v>
      </c>
      <c r="M115">
        <v>0</v>
      </c>
      <c r="N115">
        <v>4.3865999999999996</v>
      </c>
      <c r="O115">
        <v>3.94794</v>
      </c>
      <c r="P115">
        <v>0</v>
      </c>
      <c r="Q115">
        <v>0</v>
      </c>
      <c r="R115">
        <v>48.638993323999998</v>
      </c>
      <c r="S115">
        <v>48.638993323999998</v>
      </c>
      <c r="T115">
        <v>143.78700000000001</v>
      </c>
      <c r="U115">
        <f t="shared" si="3"/>
        <v>269.76092046390102</v>
      </c>
    </row>
    <row r="116" spans="1:21" x14ac:dyDescent="0.25">
      <c r="A116" t="s">
        <v>29</v>
      </c>
      <c r="B116" t="str">
        <f>"14864347"</f>
        <v>14864347</v>
      </c>
      <c r="C116" t="s">
        <v>103</v>
      </c>
      <c r="F116">
        <v>34</v>
      </c>
      <c r="G116">
        <v>585.99061500545997</v>
      </c>
      <c r="H116">
        <v>477.12745066532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171.88300000000001</v>
      </c>
      <c r="O116">
        <v>154.69499999999999</v>
      </c>
      <c r="P116">
        <v>0</v>
      </c>
      <c r="Q116">
        <v>0</v>
      </c>
      <c r="R116">
        <v>128.54891111219999</v>
      </c>
      <c r="S116">
        <v>128.54891111219999</v>
      </c>
      <c r="T116">
        <v>833.09699999999998</v>
      </c>
      <c r="U116">
        <f t="shared" si="3"/>
        <v>1593.4683617775199</v>
      </c>
    </row>
    <row r="117" spans="1:21" x14ac:dyDescent="0.25">
      <c r="A117" t="s">
        <v>27</v>
      </c>
      <c r="B117" t="str">
        <f>"24759384"</f>
        <v>24759384</v>
      </c>
      <c r="C117" t="s">
        <v>104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11.1306850007</v>
      </c>
      <c r="S117">
        <v>11.1306850007</v>
      </c>
      <c r="T117">
        <v>0</v>
      </c>
      <c r="U117">
        <f t="shared" si="3"/>
        <v>11.1306850007</v>
      </c>
    </row>
    <row r="118" spans="1:21" x14ac:dyDescent="0.25">
      <c r="A118" t="s">
        <v>65</v>
      </c>
      <c r="B118" t="str">
        <f>"00023001"</f>
        <v>00023001</v>
      </c>
      <c r="C118" t="s">
        <v>105</v>
      </c>
      <c r="F118">
        <v>868</v>
      </c>
      <c r="G118">
        <v>15660.459537922001</v>
      </c>
      <c r="H118">
        <v>13836.533242003001</v>
      </c>
      <c r="I118">
        <v>0</v>
      </c>
      <c r="J118">
        <v>0</v>
      </c>
      <c r="K118">
        <v>0</v>
      </c>
      <c r="L118">
        <v>6.3</v>
      </c>
      <c r="M118">
        <v>0.9</v>
      </c>
      <c r="N118">
        <v>3599.72</v>
      </c>
      <c r="O118">
        <v>3465.75</v>
      </c>
      <c r="P118">
        <v>0</v>
      </c>
      <c r="Q118">
        <v>0</v>
      </c>
      <c r="R118">
        <v>1546.4511711586999</v>
      </c>
      <c r="S118">
        <v>1546.4511711586999</v>
      </c>
      <c r="T118">
        <v>3548.09</v>
      </c>
      <c r="U118">
        <f t="shared" si="3"/>
        <v>22396.824413161703</v>
      </c>
    </row>
    <row r="119" spans="1:21" x14ac:dyDescent="0.25">
      <c r="A119" t="s">
        <v>65</v>
      </c>
      <c r="B119" t="str">
        <f>"00023841"</f>
        <v>00023841</v>
      </c>
      <c r="C119" t="s">
        <v>106</v>
      </c>
      <c r="F119">
        <v>3</v>
      </c>
      <c r="G119">
        <v>8.8869998455047998</v>
      </c>
      <c r="H119">
        <v>7.8270001411437997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32.946800000000003</v>
      </c>
      <c r="O119">
        <v>29.652100000000001</v>
      </c>
      <c r="P119">
        <v>0</v>
      </c>
      <c r="R119">
        <v>0</v>
      </c>
      <c r="S119">
        <v>0</v>
      </c>
      <c r="T119">
        <v>0</v>
      </c>
      <c r="U119">
        <f t="shared" si="3"/>
        <v>37.479100141143803</v>
      </c>
    </row>
    <row r="120" spans="1:21" x14ac:dyDescent="0.25">
      <c r="A120" t="s">
        <v>36</v>
      </c>
      <c r="B120" t="str">
        <f>"48136841"</f>
        <v>48136841</v>
      </c>
      <c r="C120" t="s">
        <v>107</v>
      </c>
      <c r="F120">
        <v>96</v>
      </c>
      <c r="G120">
        <v>1421.1605273442999</v>
      </c>
      <c r="H120">
        <v>1159.2771835004</v>
      </c>
      <c r="I120">
        <v>0</v>
      </c>
      <c r="J120">
        <v>0</v>
      </c>
      <c r="K120">
        <v>0</v>
      </c>
      <c r="L120">
        <v>1</v>
      </c>
      <c r="M120">
        <v>0</v>
      </c>
      <c r="N120">
        <v>169.20099999999999</v>
      </c>
      <c r="O120">
        <v>152.28100000000001</v>
      </c>
      <c r="P120">
        <v>0</v>
      </c>
      <c r="Q120">
        <v>0</v>
      </c>
      <c r="R120">
        <v>6.0693735193</v>
      </c>
      <c r="S120">
        <v>6.0693735193</v>
      </c>
      <c r="T120">
        <v>83.541600000000003</v>
      </c>
      <c r="U120">
        <f t="shared" si="3"/>
        <v>1401.1691570196999</v>
      </c>
    </row>
    <row r="121" spans="1:21" x14ac:dyDescent="0.25">
      <c r="A121" t="s">
        <v>27</v>
      </c>
      <c r="B121" t="str">
        <f>"24661171"</f>
        <v>24661171</v>
      </c>
      <c r="C121" t="s">
        <v>108</v>
      </c>
      <c r="F121">
        <v>1</v>
      </c>
      <c r="G121">
        <v>0.28571428571427998</v>
      </c>
      <c r="H121">
        <v>0.16072865405714001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R121">
        <v>0</v>
      </c>
      <c r="S121">
        <v>0</v>
      </c>
      <c r="T121">
        <v>0</v>
      </c>
      <c r="U121">
        <f t="shared" si="3"/>
        <v>0.16072865405714001</v>
      </c>
    </row>
    <row r="122" spans="1:21" x14ac:dyDescent="0.25">
      <c r="A122" t="s">
        <v>101</v>
      </c>
      <c r="B122" t="str">
        <f>"00023205"</f>
        <v>00023205</v>
      </c>
      <c r="C122" t="s">
        <v>109</v>
      </c>
      <c r="F122">
        <v>88</v>
      </c>
      <c r="G122">
        <v>1526.3911212057001</v>
      </c>
      <c r="H122">
        <v>1304.3434212727</v>
      </c>
      <c r="I122">
        <v>0</v>
      </c>
      <c r="J122">
        <v>0</v>
      </c>
      <c r="K122">
        <v>0</v>
      </c>
      <c r="L122">
        <v>1</v>
      </c>
      <c r="M122">
        <v>1</v>
      </c>
      <c r="N122">
        <v>130.65899999999999</v>
      </c>
      <c r="O122">
        <v>175.01599999999999</v>
      </c>
      <c r="P122">
        <v>0</v>
      </c>
      <c r="Q122">
        <v>0</v>
      </c>
      <c r="R122">
        <v>88.247430892599994</v>
      </c>
      <c r="S122">
        <v>88.247430892599994</v>
      </c>
      <c r="T122">
        <v>250.41800000000001</v>
      </c>
      <c r="U122">
        <f t="shared" si="3"/>
        <v>1818.0248521653002</v>
      </c>
    </row>
    <row r="123" spans="1:21" x14ac:dyDescent="0.25">
      <c r="A123" t="s">
        <v>27</v>
      </c>
      <c r="B123" t="str">
        <f>"02277387"</f>
        <v>02277387</v>
      </c>
      <c r="C123" t="s">
        <v>110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38.201350974199997</v>
      </c>
      <c r="S123">
        <v>38.201350974199997</v>
      </c>
      <c r="T123">
        <v>22.843699999999998</v>
      </c>
      <c r="U123">
        <f t="shared" si="3"/>
        <v>61.045050974199995</v>
      </c>
    </row>
    <row r="124" spans="1:21" x14ac:dyDescent="0.25">
      <c r="A124" t="s">
        <v>27</v>
      </c>
      <c r="B124" t="str">
        <f>"60445815"</f>
        <v>60445815</v>
      </c>
      <c r="C124" t="s">
        <v>111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R124">
        <v>0</v>
      </c>
      <c r="S124">
        <v>0</v>
      </c>
      <c r="T124">
        <v>0</v>
      </c>
      <c r="U124">
        <f t="shared" si="3"/>
        <v>0</v>
      </c>
    </row>
    <row r="125" spans="1:21" x14ac:dyDescent="0.25">
      <c r="A125" t="s">
        <v>27</v>
      </c>
      <c r="B125" t="str">
        <f>"26585499"</f>
        <v>26585499</v>
      </c>
      <c r="C125" t="s">
        <v>112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8.6315311986999994</v>
      </c>
      <c r="S125">
        <v>8.6315311986999994</v>
      </c>
      <c r="T125">
        <v>0</v>
      </c>
      <c r="U125">
        <f t="shared" si="3"/>
        <v>8.6315311986999994</v>
      </c>
    </row>
    <row r="126" spans="1:21" x14ac:dyDescent="0.25">
      <c r="A126" t="s">
        <v>27</v>
      </c>
      <c r="B126" t="str">
        <f t="shared" ref="B126:B131" si="5">"62156462"</f>
        <v>62156462</v>
      </c>
      <c r="C126" t="s">
        <v>113</v>
      </c>
      <c r="E126" t="s">
        <v>287</v>
      </c>
      <c r="F126">
        <v>27</v>
      </c>
      <c r="G126">
        <v>627.71499907969996</v>
      </c>
      <c r="H126">
        <v>695.49700140952996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154.59</v>
      </c>
      <c r="O126">
        <v>139.131</v>
      </c>
      <c r="P126">
        <v>0</v>
      </c>
      <c r="R126">
        <v>0</v>
      </c>
      <c r="S126">
        <v>0</v>
      </c>
      <c r="T126">
        <v>0</v>
      </c>
      <c r="U126">
        <f t="shared" si="3"/>
        <v>834.62800140952993</v>
      </c>
    </row>
    <row r="127" spans="1:21" x14ac:dyDescent="0.25">
      <c r="A127" t="s">
        <v>27</v>
      </c>
      <c r="B127" t="str">
        <f t="shared" si="5"/>
        <v>62156462</v>
      </c>
      <c r="C127" t="s">
        <v>113</v>
      </c>
      <c r="D127">
        <v>54510</v>
      </c>
      <c r="E127" t="s">
        <v>288</v>
      </c>
      <c r="F127">
        <v>13</v>
      </c>
      <c r="G127">
        <v>117.22222222222</v>
      </c>
      <c r="H127">
        <v>75.424199789694001</v>
      </c>
      <c r="I127">
        <v>0</v>
      </c>
      <c r="J127">
        <v>0</v>
      </c>
      <c r="K127">
        <v>0</v>
      </c>
      <c r="L127">
        <v>1</v>
      </c>
      <c r="M127">
        <v>0</v>
      </c>
      <c r="N127">
        <v>0</v>
      </c>
      <c r="O127">
        <v>0</v>
      </c>
      <c r="P127">
        <v>0</v>
      </c>
      <c r="R127">
        <v>0</v>
      </c>
      <c r="S127">
        <v>0</v>
      </c>
      <c r="T127">
        <v>0</v>
      </c>
      <c r="U127">
        <f t="shared" si="3"/>
        <v>75.424199789694001</v>
      </c>
    </row>
    <row r="128" spans="1:21" x14ac:dyDescent="0.25">
      <c r="A128" t="s">
        <v>27</v>
      </c>
      <c r="B128" t="str">
        <f t="shared" si="5"/>
        <v>62156462</v>
      </c>
      <c r="C128" t="s">
        <v>113</v>
      </c>
      <c r="D128">
        <v>54530</v>
      </c>
      <c r="E128" t="s">
        <v>289</v>
      </c>
      <c r="F128">
        <v>24</v>
      </c>
      <c r="G128">
        <v>788.19958432342003</v>
      </c>
      <c r="H128">
        <v>463.74375368133002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12.3651</v>
      </c>
      <c r="O128">
        <v>11.1286</v>
      </c>
      <c r="P128">
        <v>0</v>
      </c>
      <c r="R128">
        <v>0</v>
      </c>
      <c r="S128">
        <v>0</v>
      </c>
      <c r="T128">
        <v>0</v>
      </c>
      <c r="U128">
        <f t="shared" si="3"/>
        <v>474.87235368133003</v>
      </c>
    </row>
    <row r="129" spans="1:21" x14ac:dyDescent="0.25">
      <c r="A129" t="s">
        <v>27</v>
      </c>
      <c r="B129" t="str">
        <f t="shared" si="5"/>
        <v>62156462</v>
      </c>
      <c r="C129" t="s">
        <v>113</v>
      </c>
      <c r="D129">
        <v>54610</v>
      </c>
      <c r="E129" t="s">
        <v>334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R129">
        <v>0</v>
      </c>
      <c r="S129">
        <v>0</v>
      </c>
      <c r="T129">
        <v>0</v>
      </c>
      <c r="U129">
        <f t="shared" si="3"/>
        <v>0</v>
      </c>
    </row>
    <row r="130" spans="1:21" x14ac:dyDescent="0.25">
      <c r="A130" t="s">
        <v>27</v>
      </c>
      <c r="B130" t="str">
        <f t="shared" si="5"/>
        <v>62156462</v>
      </c>
      <c r="C130" t="s">
        <v>113</v>
      </c>
      <c r="D130">
        <v>54710</v>
      </c>
      <c r="E130" t="s">
        <v>335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R130">
        <v>0</v>
      </c>
      <c r="S130">
        <v>0</v>
      </c>
      <c r="T130">
        <v>0</v>
      </c>
      <c r="U130">
        <f t="shared" si="3"/>
        <v>0</v>
      </c>
    </row>
    <row r="131" spans="1:21" x14ac:dyDescent="0.25">
      <c r="A131" t="s">
        <v>27</v>
      </c>
      <c r="B131" t="str">
        <f t="shared" si="5"/>
        <v>62156462</v>
      </c>
      <c r="C131" t="s">
        <v>113</v>
      </c>
      <c r="D131">
        <v>54810</v>
      </c>
      <c r="E131" t="s">
        <v>297</v>
      </c>
      <c r="F131">
        <v>7</v>
      </c>
      <c r="G131">
        <v>96.780000209807994</v>
      </c>
      <c r="H131">
        <v>97.401003122329996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24.837299999999999</v>
      </c>
      <c r="O131">
        <v>22.3536</v>
      </c>
      <c r="P131">
        <v>0</v>
      </c>
      <c r="R131">
        <v>0</v>
      </c>
      <c r="S131">
        <v>0</v>
      </c>
      <c r="T131">
        <v>0</v>
      </c>
      <c r="U131">
        <f t="shared" si="3"/>
        <v>119.75460312233</v>
      </c>
    </row>
    <row r="132" spans="1:21" x14ac:dyDescent="0.25">
      <c r="A132" t="s">
        <v>27</v>
      </c>
      <c r="B132" t="str">
        <f t="shared" ref="B132:B150" si="6">"60076658"</f>
        <v>60076658</v>
      </c>
      <c r="C132" t="s">
        <v>114</v>
      </c>
      <c r="E132" t="s">
        <v>287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19</v>
      </c>
      <c r="M132">
        <v>0</v>
      </c>
      <c r="N132">
        <v>69.854399999999998</v>
      </c>
      <c r="O132">
        <v>62.869</v>
      </c>
      <c r="P132">
        <v>0</v>
      </c>
      <c r="R132">
        <v>0</v>
      </c>
      <c r="S132">
        <v>0</v>
      </c>
      <c r="T132">
        <v>0</v>
      </c>
      <c r="U132">
        <f t="shared" ref="U132:U195" si="7">H132+K132+O132+S132+T132</f>
        <v>62.869</v>
      </c>
    </row>
    <row r="133" spans="1:21" x14ac:dyDescent="0.25">
      <c r="A133" t="s">
        <v>27</v>
      </c>
      <c r="B133" t="str">
        <f t="shared" si="6"/>
        <v>60076658</v>
      </c>
      <c r="C133" t="s">
        <v>114</v>
      </c>
      <c r="D133">
        <v>12110</v>
      </c>
      <c r="E133" t="s">
        <v>336</v>
      </c>
      <c r="F133">
        <v>185</v>
      </c>
      <c r="G133">
        <v>2069.2465539529999</v>
      </c>
      <c r="H133">
        <v>1738.0540149866999</v>
      </c>
      <c r="I133">
        <v>0</v>
      </c>
      <c r="J133">
        <v>0</v>
      </c>
      <c r="K133">
        <v>0</v>
      </c>
      <c r="L133">
        <v>19</v>
      </c>
      <c r="M133">
        <v>0</v>
      </c>
      <c r="N133">
        <v>220.654</v>
      </c>
      <c r="O133">
        <v>198.589</v>
      </c>
      <c r="P133">
        <v>0</v>
      </c>
      <c r="Q133">
        <v>0</v>
      </c>
      <c r="R133">
        <v>79.447889354300003</v>
      </c>
      <c r="S133">
        <v>79.447889354300003</v>
      </c>
      <c r="T133">
        <v>116.19799999999999</v>
      </c>
      <c r="U133">
        <f t="shared" si="7"/>
        <v>2132.288904341</v>
      </c>
    </row>
    <row r="134" spans="1:21" x14ac:dyDescent="0.25">
      <c r="A134" t="s">
        <v>27</v>
      </c>
      <c r="B134" t="str">
        <f t="shared" si="6"/>
        <v>60076658</v>
      </c>
      <c r="C134" t="s">
        <v>114</v>
      </c>
      <c r="D134">
        <v>12210</v>
      </c>
      <c r="E134" t="s">
        <v>337</v>
      </c>
      <c r="F134">
        <v>542</v>
      </c>
      <c r="G134">
        <v>6219.4639538553001</v>
      </c>
      <c r="H134">
        <v>5381.9291134296</v>
      </c>
      <c r="I134">
        <v>0</v>
      </c>
      <c r="J134">
        <v>0</v>
      </c>
      <c r="K134">
        <v>0</v>
      </c>
      <c r="L134">
        <v>19</v>
      </c>
      <c r="M134">
        <v>0</v>
      </c>
      <c r="N134">
        <v>1174.6600000000001</v>
      </c>
      <c r="O134">
        <v>1057.19</v>
      </c>
      <c r="P134">
        <v>0</v>
      </c>
      <c r="R134">
        <v>0</v>
      </c>
      <c r="S134">
        <v>0</v>
      </c>
      <c r="T134">
        <v>0</v>
      </c>
      <c r="U134">
        <f t="shared" si="7"/>
        <v>6439.1191134296005</v>
      </c>
    </row>
    <row r="135" spans="1:21" x14ac:dyDescent="0.25">
      <c r="A135" t="s">
        <v>27</v>
      </c>
      <c r="B135" t="str">
        <f t="shared" si="6"/>
        <v>60076658</v>
      </c>
      <c r="C135" t="s">
        <v>114</v>
      </c>
      <c r="D135">
        <v>12220</v>
      </c>
      <c r="E135" t="s">
        <v>338</v>
      </c>
      <c r="F135">
        <v>363</v>
      </c>
      <c r="G135">
        <v>4380.1325477521004</v>
      </c>
      <c r="H135">
        <v>4348.7907651121004</v>
      </c>
      <c r="I135">
        <v>0</v>
      </c>
      <c r="J135">
        <v>0</v>
      </c>
      <c r="K135">
        <v>0</v>
      </c>
      <c r="L135">
        <v>19</v>
      </c>
      <c r="M135">
        <v>0</v>
      </c>
      <c r="N135">
        <v>942.43499999999995</v>
      </c>
      <c r="O135">
        <v>848.19200000000001</v>
      </c>
      <c r="P135">
        <v>10</v>
      </c>
      <c r="Q135">
        <v>6</v>
      </c>
      <c r="R135">
        <v>191.21676779570001</v>
      </c>
      <c r="S135">
        <v>197.21676779570001</v>
      </c>
      <c r="T135">
        <v>1971.31</v>
      </c>
      <c r="U135">
        <f t="shared" si="7"/>
        <v>7365.5095329078013</v>
      </c>
    </row>
    <row r="136" spans="1:21" x14ac:dyDescent="0.25">
      <c r="A136" t="s">
        <v>27</v>
      </c>
      <c r="B136" t="str">
        <f t="shared" si="6"/>
        <v>60076658</v>
      </c>
      <c r="C136" t="s">
        <v>114</v>
      </c>
      <c r="D136">
        <v>12260</v>
      </c>
      <c r="E136" t="s">
        <v>339</v>
      </c>
      <c r="F136">
        <v>289</v>
      </c>
      <c r="G136">
        <v>4018.2703785542999</v>
      </c>
      <c r="H136">
        <v>3188.0340833644</v>
      </c>
      <c r="I136">
        <v>0</v>
      </c>
      <c r="J136">
        <v>0</v>
      </c>
      <c r="K136">
        <v>0</v>
      </c>
      <c r="L136">
        <v>19</v>
      </c>
      <c r="M136">
        <v>1</v>
      </c>
      <c r="N136">
        <v>539.29200000000003</v>
      </c>
      <c r="O136">
        <v>694.245</v>
      </c>
      <c r="P136">
        <v>0</v>
      </c>
      <c r="R136">
        <v>0</v>
      </c>
      <c r="S136">
        <v>0</v>
      </c>
      <c r="T136">
        <v>0</v>
      </c>
      <c r="U136">
        <f t="shared" si="7"/>
        <v>3882.2790833643999</v>
      </c>
    </row>
    <row r="137" spans="1:21" x14ac:dyDescent="0.25">
      <c r="A137" t="s">
        <v>27</v>
      </c>
      <c r="B137" t="str">
        <f t="shared" si="6"/>
        <v>60076658</v>
      </c>
      <c r="C137" t="s">
        <v>114</v>
      </c>
      <c r="D137">
        <v>12310</v>
      </c>
      <c r="E137" t="s">
        <v>340</v>
      </c>
      <c r="F137">
        <v>1485</v>
      </c>
      <c r="G137">
        <v>29226.116331765999</v>
      </c>
      <c r="H137">
        <v>28236.589376495998</v>
      </c>
      <c r="I137">
        <v>0</v>
      </c>
      <c r="J137">
        <v>0</v>
      </c>
      <c r="K137">
        <v>0</v>
      </c>
      <c r="L137">
        <v>19</v>
      </c>
      <c r="M137">
        <v>3.84</v>
      </c>
      <c r="N137">
        <v>2772.27</v>
      </c>
      <c r="O137">
        <v>3297.15</v>
      </c>
      <c r="P137">
        <v>0</v>
      </c>
      <c r="R137">
        <v>0</v>
      </c>
      <c r="S137">
        <v>0</v>
      </c>
      <c r="T137">
        <v>85.461500000000001</v>
      </c>
      <c r="U137">
        <f t="shared" si="7"/>
        <v>31619.200876496001</v>
      </c>
    </row>
    <row r="138" spans="1:21" x14ac:dyDescent="0.25">
      <c r="A138" t="s">
        <v>27</v>
      </c>
      <c r="B138" t="str">
        <f t="shared" si="6"/>
        <v>60076658</v>
      </c>
      <c r="C138" t="s">
        <v>114</v>
      </c>
      <c r="D138">
        <v>12410</v>
      </c>
      <c r="E138" t="s">
        <v>341</v>
      </c>
      <c r="F138">
        <v>451</v>
      </c>
      <c r="G138">
        <v>4283.5296628886999</v>
      </c>
      <c r="H138">
        <v>3696.7325453816002</v>
      </c>
      <c r="I138">
        <v>0</v>
      </c>
      <c r="J138">
        <v>0</v>
      </c>
      <c r="K138">
        <v>0</v>
      </c>
      <c r="L138">
        <v>19</v>
      </c>
      <c r="M138">
        <v>0.2</v>
      </c>
      <c r="N138">
        <v>461.55700000000002</v>
      </c>
      <c r="O138">
        <v>457.178</v>
      </c>
      <c r="P138">
        <v>0</v>
      </c>
      <c r="R138">
        <v>0</v>
      </c>
      <c r="S138">
        <v>0</v>
      </c>
      <c r="T138">
        <v>58.106499999999997</v>
      </c>
      <c r="U138">
        <f t="shared" si="7"/>
        <v>4212.0170453815999</v>
      </c>
    </row>
    <row r="139" spans="1:21" x14ac:dyDescent="0.25">
      <c r="A139" t="s">
        <v>27</v>
      </c>
      <c r="B139" t="str">
        <f t="shared" si="6"/>
        <v>60076658</v>
      </c>
      <c r="C139" t="s">
        <v>114</v>
      </c>
      <c r="D139">
        <v>12510</v>
      </c>
      <c r="E139" t="s">
        <v>342</v>
      </c>
      <c r="F139">
        <v>307</v>
      </c>
      <c r="G139">
        <v>3170.5214661073001</v>
      </c>
      <c r="H139">
        <v>2510.0596431821</v>
      </c>
      <c r="I139">
        <v>0</v>
      </c>
      <c r="J139">
        <v>0</v>
      </c>
      <c r="K139">
        <v>0</v>
      </c>
      <c r="L139">
        <v>19</v>
      </c>
      <c r="M139">
        <v>0</v>
      </c>
      <c r="N139">
        <v>419.68900000000002</v>
      </c>
      <c r="O139">
        <v>377.72</v>
      </c>
      <c r="P139">
        <v>0</v>
      </c>
      <c r="Q139">
        <v>0</v>
      </c>
      <c r="R139">
        <v>1.2180749623</v>
      </c>
      <c r="S139">
        <v>1.2180749623</v>
      </c>
      <c r="T139">
        <v>359.27499999999998</v>
      </c>
      <c r="U139">
        <f t="shared" si="7"/>
        <v>3248.2727181443997</v>
      </c>
    </row>
    <row r="140" spans="1:21" x14ac:dyDescent="0.25">
      <c r="A140" t="s">
        <v>27</v>
      </c>
      <c r="B140" t="str">
        <f t="shared" si="6"/>
        <v>60076658</v>
      </c>
      <c r="C140" t="s">
        <v>114</v>
      </c>
      <c r="D140">
        <v>12520</v>
      </c>
      <c r="E140" t="s">
        <v>343</v>
      </c>
      <c r="F140">
        <v>523</v>
      </c>
      <c r="G140">
        <v>12384.716936622001</v>
      </c>
      <c r="H140">
        <v>12664.115649269999</v>
      </c>
      <c r="I140">
        <v>0</v>
      </c>
      <c r="J140">
        <v>0</v>
      </c>
      <c r="K140">
        <v>0</v>
      </c>
      <c r="L140">
        <v>19</v>
      </c>
      <c r="M140">
        <v>1.45</v>
      </c>
      <c r="N140">
        <v>2165.56</v>
      </c>
      <c r="O140">
        <v>2251.88</v>
      </c>
      <c r="P140">
        <v>150</v>
      </c>
      <c r="Q140">
        <v>90</v>
      </c>
      <c r="R140">
        <v>309.16002621849998</v>
      </c>
      <c r="S140">
        <v>399.16002621849998</v>
      </c>
      <c r="T140">
        <v>1824.7</v>
      </c>
      <c r="U140">
        <f t="shared" si="7"/>
        <v>17139.855675488499</v>
      </c>
    </row>
    <row r="141" spans="1:21" x14ac:dyDescent="0.25">
      <c r="A141" t="s">
        <v>27</v>
      </c>
      <c r="B141" t="str">
        <f t="shared" si="6"/>
        <v>60076658</v>
      </c>
      <c r="C141" t="s">
        <v>114</v>
      </c>
      <c r="D141">
        <v>12610</v>
      </c>
      <c r="E141" t="s">
        <v>344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19</v>
      </c>
      <c r="M141">
        <v>0</v>
      </c>
      <c r="N141">
        <v>150.71700000000001</v>
      </c>
      <c r="O141">
        <v>135.64500000000001</v>
      </c>
      <c r="P141">
        <v>0</v>
      </c>
      <c r="R141">
        <v>0</v>
      </c>
      <c r="S141">
        <v>0</v>
      </c>
      <c r="T141">
        <v>146.88200000000001</v>
      </c>
      <c r="U141">
        <f t="shared" si="7"/>
        <v>282.52700000000004</v>
      </c>
    </row>
    <row r="142" spans="1:21" x14ac:dyDescent="0.25">
      <c r="A142" t="s">
        <v>27</v>
      </c>
      <c r="B142" t="str">
        <f t="shared" si="6"/>
        <v>60076658</v>
      </c>
      <c r="C142" t="s">
        <v>114</v>
      </c>
      <c r="D142">
        <v>12620</v>
      </c>
      <c r="E142" t="s">
        <v>345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19</v>
      </c>
      <c r="M142">
        <v>0</v>
      </c>
      <c r="N142">
        <v>0</v>
      </c>
      <c r="O142">
        <v>0</v>
      </c>
      <c r="P142">
        <v>0</v>
      </c>
      <c r="R142">
        <v>0</v>
      </c>
      <c r="S142">
        <v>0</v>
      </c>
      <c r="T142">
        <v>0</v>
      </c>
      <c r="U142">
        <f t="shared" si="7"/>
        <v>0</v>
      </c>
    </row>
    <row r="143" spans="1:21" x14ac:dyDescent="0.25">
      <c r="A143" t="s">
        <v>27</v>
      </c>
      <c r="B143" t="str">
        <f t="shared" si="6"/>
        <v>60076658</v>
      </c>
      <c r="C143" t="s">
        <v>114</v>
      </c>
      <c r="D143">
        <v>12640</v>
      </c>
      <c r="E143" t="s">
        <v>346</v>
      </c>
      <c r="F143">
        <v>53</v>
      </c>
      <c r="G143">
        <v>1099.2899988889999</v>
      </c>
      <c r="H143">
        <v>1294.1080002785</v>
      </c>
      <c r="I143">
        <v>0</v>
      </c>
      <c r="J143">
        <v>0</v>
      </c>
      <c r="K143">
        <v>0</v>
      </c>
      <c r="L143">
        <v>19</v>
      </c>
      <c r="M143">
        <v>0</v>
      </c>
      <c r="N143">
        <v>113.77500000000001</v>
      </c>
      <c r="O143">
        <v>102.39700000000001</v>
      </c>
      <c r="P143">
        <v>0</v>
      </c>
      <c r="R143">
        <v>0</v>
      </c>
      <c r="S143">
        <v>0</v>
      </c>
      <c r="T143">
        <v>54.4985</v>
      </c>
      <c r="U143">
        <f t="shared" si="7"/>
        <v>1451.0035002784998</v>
      </c>
    </row>
    <row r="144" spans="1:21" x14ac:dyDescent="0.25">
      <c r="A144" t="s">
        <v>27</v>
      </c>
      <c r="B144" t="str">
        <f t="shared" si="6"/>
        <v>60076658</v>
      </c>
      <c r="C144" t="s">
        <v>114</v>
      </c>
      <c r="D144">
        <v>12660</v>
      </c>
      <c r="E144" t="s">
        <v>347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19</v>
      </c>
      <c r="M144">
        <v>0</v>
      </c>
      <c r="N144">
        <v>0</v>
      </c>
      <c r="O144">
        <v>0</v>
      </c>
      <c r="P144">
        <v>0</v>
      </c>
      <c r="R144">
        <v>0</v>
      </c>
      <c r="S144">
        <v>0</v>
      </c>
      <c r="T144">
        <v>0</v>
      </c>
      <c r="U144">
        <f t="shared" si="7"/>
        <v>0</v>
      </c>
    </row>
    <row r="145" spans="1:21" x14ac:dyDescent="0.25">
      <c r="A145" t="s">
        <v>27</v>
      </c>
      <c r="B145" t="str">
        <f t="shared" si="6"/>
        <v>60076658</v>
      </c>
      <c r="C145" t="s">
        <v>114</v>
      </c>
      <c r="D145">
        <v>12670</v>
      </c>
      <c r="E145" t="s">
        <v>348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19</v>
      </c>
      <c r="M145">
        <v>0</v>
      </c>
      <c r="N145">
        <v>0</v>
      </c>
      <c r="O145">
        <v>0</v>
      </c>
      <c r="P145">
        <v>0</v>
      </c>
      <c r="R145">
        <v>0</v>
      </c>
      <c r="S145">
        <v>0</v>
      </c>
      <c r="T145">
        <v>0</v>
      </c>
      <c r="U145">
        <f t="shared" si="7"/>
        <v>0</v>
      </c>
    </row>
    <row r="146" spans="1:21" x14ac:dyDescent="0.25">
      <c r="A146" t="s">
        <v>27</v>
      </c>
      <c r="B146" t="str">
        <f t="shared" si="6"/>
        <v>60076658</v>
      </c>
      <c r="C146" t="s">
        <v>114</v>
      </c>
      <c r="D146">
        <v>12680</v>
      </c>
      <c r="E146" t="s">
        <v>349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19</v>
      </c>
      <c r="M146">
        <v>0</v>
      </c>
      <c r="N146">
        <v>0</v>
      </c>
      <c r="O146">
        <v>0</v>
      </c>
      <c r="P146">
        <v>0</v>
      </c>
      <c r="R146">
        <v>0</v>
      </c>
      <c r="S146">
        <v>0</v>
      </c>
      <c r="T146">
        <v>0</v>
      </c>
      <c r="U146">
        <f t="shared" si="7"/>
        <v>0</v>
      </c>
    </row>
    <row r="147" spans="1:21" x14ac:dyDescent="0.25">
      <c r="A147" t="s">
        <v>27</v>
      </c>
      <c r="B147" t="str">
        <f t="shared" si="6"/>
        <v>60076658</v>
      </c>
      <c r="C147" t="s">
        <v>114</v>
      </c>
      <c r="D147">
        <v>12690</v>
      </c>
      <c r="E147" t="s">
        <v>350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19</v>
      </c>
      <c r="M147">
        <v>0</v>
      </c>
      <c r="N147">
        <v>0</v>
      </c>
      <c r="O147">
        <v>0</v>
      </c>
      <c r="P147">
        <v>0</v>
      </c>
      <c r="R147">
        <v>0</v>
      </c>
      <c r="S147">
        <v>0</v>
      </c>
      <c r="T147">
        <v>0</v>
      </c>
      <c r="U147">
        <f t="shared" si="7"/>
        <v>0</v>
      </c>
    </row>
    <row r="148" spans="1:21" x14ac:dyDescent="0.25">
      <c r="A148" t="s">
        <v>27</v>
      </c>
      <c r="B148" t="str">
        <f t="shared" si="6"/>
        <v>60076658</v>
      </c>
      <c r="C148" t="s">
        <v>114</v>
      </c>
      <c r="D148">
        <v>12700</v>
      </c>
      <c r="E148" t="s">
        <v>351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19</v>
      </c>
      <c r="M148">
        <v>0</v>
      </c>
      <c r="N148">
        <v>0</v>
      </c>
      <c r="O148">
        <v>0</v>
      </c>
      <c r="P148">
        <v>0</v>
      </c>
      <c r="R148">
        <v>0</v>
      </c>
      <c r="S148">
        <v>0</v>
      </c>
      <c r="T148">
        <v>0</v>
      </c>
      <c r="U148">
        <f t="shared" si="7"/>
        <v>0</v>
      </c>
    </row>
    <row r="149" spans="1:21" x14ac:dyDescent="0.25">
      <c r="A149" t="s">
        <v>27</v>
      </c>
      <c r="B149" t="str">
        <f t="shared" si="6"/>
        <v>60076658</v>
      </c>
      <c r="C149" t="s">
        <v>114</v>
      </c>
      <c r="D149">
        <v>12710</v>
      </c>
      <c r="E149" t="s">
        <v>352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19</v>
      </c>
      <c r="M149">
        <v>0</v>
      </c>
      <c r="N149">
        <v>0</v>
      </c>
      <c r="O149">
        <v>0</v>
      </c>
      <c r="P149">
        <v>0</v>
      </c>
      <c r="R149">
        <v>0</v>
      </c>
      <c r="S149">
        <v>0</v>
      </c>
      <c r="T149">
        <v>0</v>
      </c>
      <c r="U149">
        <f t="shared" si="7"/>
        <v>0</v>
      </c>
    </row>
    <row r="150" spans="1:21" x14ac:dyDescent="0.25">
      <c r="A150" t="s">
        <v>27</v>
      </c>
      <c r="B150" t="str">
        <f t="shared" si="6"/>
        <v>60076658</v>
      </c>
      <c r="C150" t="s">
        <v>114</v>
      </c>
      <c r="D150">
        <v>12810</v>
      </c>
      <c r="E150" t="s">
        <v>297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19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18.880161916300001</v>
      </c>
      <c r="S150">
        <v>18.880161916300001</v>
      </c>
      <c r="T150">
        <v>0</v>
      </c>
      <c r="U150">
        <f t="shared" si="7"/>
        <v>18.880161916300001</v>
      </c>
    </row>
    <row r="151" spans="1:21" x14ac:dyDescent="0.25">
      <c r="A151" t="s">
        <v>42</v>
      </c>
      <c r="B151" t="str">
        <f>"67985971"</f>
        <v>67985971</v>
      </c>
      <c r="C151" t="s">
        <v>115</v>
      </c>
      <c r="F151">
        <v>22</v>
      </c>
      <c r="G151">
        <v>171.4340093385</v>
      </c>
      <c r="H151">
        <v>131.88305823598</v>
      </c>
      <c r="I151">
        <v>0</v>
      </c>
      <c r="J151">
        <v>0</v>
      </c>
      <c r="K151">
        <v>0</v>
      </c>
      <c r="L151">
        <v>3</v>
      </c>
      <c r="M151">
        <v>0</v>
      </c>
      <c r="N151">
        <v>39.648699999999998</v>
      </c>
      <c r="O151">
        <v>35.683799999999998</v>
      </c>
      <c r="P151">
        <v>0</v>
      </c>
      <c r="Q151">
        <v>0</v>
      </c>
      <c r="R151">
        <v>89.402501977599997</v>
      </c>
      <c r="S151">
        <v>89.402501977599997</v>
      </c>
      <c r="T151">
        <v>387.928</v>
      </c>
      <c r="U151">
        <f t="shared" si="7"/>
        <v>644.89736021357999</v>
      </c>
    </row>
    <row r="152" spans="1:21" x14ac:dyDescent="0.25">
      <c r="A152" t="s">
        <v>27</v>
      </c>
      <c r="B152" t="str">
        <f t="shared" ref="B152:B180" si="8">"00216224"</f>
        <v>00216224</v>
      </c>
      <c r="C152" t="s">
        <v>116</v>
      </c>
      <c r="D152">
        <v>14110</v>
      </c>
      <c r="E152" t="s">
        <v>353</v>
      </c>
      <c r="F152">
        <v>1954</v>
      </c>
      <c r="G152">
        <v>23961.310941341999</v>
      </c>
      <c r="H152">
        <v>21551.087988947002</v>
      </c>
      <c r="I152">
        <v>0</v>
      </c>
      <c r="J152">
        <v>0</v>
      </c>
      <c r="K152">
        <v>0</v>
      </c>
      <c r="L152">
        <v>53.63</v>
      </c>
      <c r="M152">
        <v>3.46</v>
      </c>
      <c r="N152">
        <v>3316.32</v>
      </c>
      <c r="O152">
        <v>3725.73</v>
      </c>
      <c r="P152">
        <v>0</v>
      </c>
      <c r="Q152">
        <v>0</v>
      </c>
      <c r="R152">
        <v>584.80198968009995</v>
      </c>
      <c r="S152">
        <v>584.80198968009995</v>
      </c>
      <c r="T152">
        <v>1320.9</v>
      </c>
      <c r="U152">
        <f t="shared" si="7"/>
        <v>27182.519978627104</v>
      </c>
    </row>
    <row r="153" spans="1:21" x14ac:dyDescent="0.25">
      <c r="A153" t="s">
        <v>27</v>
      </c>
      <c r="B153" t="str">
        <f t="shared" si="8"/>
        <v>00216224</v>
      </c>
      <c r="C153" t="s">
        <v>116</v>
      </c>
      <c r="D153">
        <v>14210</v>
      </c>
      <c r="E153" t="s">
        <v>337</v>
      </c>
      <c r="F153">
        <v>2270</v>
      </c>
      <c r="G153">
        <v>27356.549786052001</v>
      </c>
      <c r="H153">
        <v>22914.849428918002</v>
      </c>
      <c r="I153">
        <v>0</v>
      </c>
      <c r="J153">
        <v>0</v>
      </c>
      <c r="K153">
        <v>0</v>
      </c>
      <c r="L153">
        <v>53.63</v>
      </c>
      <c r="M153">
        <v>4.0999999999999996</v>
      </c>
      <c r="N153">
        <v>2512.56</v>
      </c>
      <c r="O153">
        <v>3139.42</v>
      </c>
      <c r="P153">
        <v>0</v>
      </c>
      <c r="Q153">
        <v>0</v>
      </c>
      <c r="R153">
        <v>167.77932541679999</v>
      </c>
      <c r="S153">
        <v>167.77932541679999</v>
      </c>
      <c r="T153">
        <v>429.28399999999999</v>
      </c>
      <c r="U153">
        <f t="shared" si="7"/>
        <v>26651.332754334799</v>
      </c>
    </row>
    <row r="154" spans="1:21" x14ac:dyDescent="0.25">
      <c r="A154" t="s">
        <v>27</v>
      </c>
      <c r="B154" t="str">
        <f t="shared" si="8"/>
        <v>00216224</v>
      </c>
      <c r="C154" t="s">
        <v>116</v>
      </c>
      <c r="D154">
        <v>14220</v>
      </c>
      <c r="E154" t="s">
        <v>354</v>
      </c>
      <c r="F154">
        <v>1290</v>
      </c>
      <c r="G154">
        <v>10741.999596251</v>
      </c>
      <c r="H154">
        <v>8173.6366971917996</v>
      </c>
      <c r="I154">
        <v>0</v>
      </c>
      <c r="J154">
        <v>0</v>
      </c>
      <c r="K154">
        <v>0</v>
      </c>
      <c r="L154">
        <v>53.63</v>
      </c>
      <c r="M154">
        <v>2</v>
      </c>
      <c r="N154">
        <v>893.68499999999995</v>
      </c>
      <c r="O154">
        <v>1232.67</v>
      </c>
      <c r="P154">
        <v>0</v>
      </c>
      <c r="R154">
        <v>0</v>
      </c>
      <c r="S154">
        <v>0</v>
      </c>
      <c r="T154">
        <v>4.17943</v>
      </c>
      <c r="U154">
        <f t="shared" si="7"/>
        <v>9410.4861271917998</v>
      </c>
    </row>
    <row r="155" spans="1:21" x14ac:dyDescent="0.25">
      <c r="A155" t="s">
        <v>27</v>
      </c>
      <c r="B155" t="str">
        <f t="shared" si="8"/>
        <v>00216224</v>
      </c>
      <c r="C155" t="s">
        <v>116</v>
      </c>
      <c r="D155">
        <v>14230</v>
      </c>
      <c r="E155" t="s">
        <v>355</v>
      </c>
      <c r="F155">
        <v>1166</v>
      </c>
      <c r="G155">
        <v>15101.860350921001</v>
      </c>
      <c r="H155">
        <v>11531.20945192</v>
      </c>
      <c r="I155">
        <v>0</v>
      </c>
      <c r="J155">
        <v>0</v>
      </c>
      <c r="K155">
        <v>0</v>
      </c>
      <c r="L155">
        <v>53.63</v>
      </c>
      <c r="M155">
        <v>3</v>
      </c>
      <c r="N155">
        <v>1913.5</v>
      </c>
      <c r="O155">
        <v>2364.67</v>
      </c>
      <c r="P155">
        <v>0</v>
      </c>
      <c r="Q155">
        <v>0</v>
      </c>
      <c r="R155">
        <v>54.2463384092</v>
      </c>
      <c r="S155">
        <v>54.2463384092</v>
      </c>
      <c r="T155">
        <v>260.55399999999997</v>
      </c>
      <c r="U155">
        <f t="shared" si="7"/>
        <v>14210.679790329201</v>
      </c>
    </row>
    <row r="156" spans="1:21" x14ac:dyDescent="0.25">
      <c r="A156" t="s">
        <v>27</v>
      </c>
      <c r="B156" t="str">
        <f t="shared" si="8"/>
        <v>00216224</v>
      </c>
      <c r="C156" t="s">
        <v>116</v>
      </c>
      <c r="D156">
        <v>14310</v>
      </c>
      <c r="E156" t="s">
        <v>340</v>
      </c>
      <c r="F156">
        <v>2623</v>
      </c>
      <c r="G156">
        <v>71457.633731986003</v>
      </c>
      <c r="H156">
        <v>74376.546999679005</v>
      </c>
      <c r="I156">
        <v>0</v>
      </c>
      <c r="J156">
        <v>0</v>
      </c>
      <c r="K156">
        <v>0</v>
      </c>
      <c r="L156">
        <v>53.63</v>
      </c>
      <c r="M156">
        <v>5.62</v>
      </c>
      <c r="N156">
        <v>12121.1</v>
      </c>
      <c r="O156">
        <v>12112.7</v>
      </c>
      <c r="P156">
        <v>680</v>
      </c>
      <c r="Q156">
        <v>475.00000238419</v>
      </c>
      <c r="R156">
        <v>570.7311237358</v>
      </c>
      <c r="S156">
        <v>1045.7311261199</v>
      </c>
      <c r="T156">
        <v>4353.74</v>
      </c>
      <c r="U156">
        <f t="shared" si="7"/>
        <v>91888.718125798914</v>
      </c>
    </row>
    <row r="157" spans="1:21" x14ac:dyDescent="0.25">
      <c r="A157" t="s">
        <v>27</v>
      </c>
      <c r="B157" t="str">
        <f t="shared" si="8"/>
        <v>00216224</v>
      </c>
      <c r="C157" t="s">
        <v>116</v>
      </c>
      <c r="D157">
        <v>14330</v>
      </c>
      <c r="E157" t="s">
        <v>356</v>
      </c>
      <c r="F157">
        <v>742</v>
      </c>
      <c r="G157">
        <v>17513.459045629999</v>
      </c>
      <c r="H157">
        <v>12615.891031399</v>
      </c>
      <c r="I157">
        <v>0</v>
      </c>
      <c r="J157">
        <v>0</v>
      </c>
      <c r="K157">
        <v>0</v>
      </c>
      <c r="L157">
        <v>53.63</v>
      </c>
      <c r="M157">
        <v>1.6</v>
      </c>
      <c r="N157">
        <v>1673.79</v>
      </c>
      <c r="O157">
        <v>1849.09</v>
      </c>
      <c r="P157">
        <v>0</v>
      </c>
      <c r="Q157">
        <v>0</v>
      </c>
      <c r="R157">
        <v>231.3922402606</v>
      </c>
      <c r="S157">
        <v>231.3922402606</v>
      </c>
      <c r="T157">
        <v>1973.18</v>
      </c>
      <c r="U157">
        <f t="shared" si="7"/>
        <v>16669.553271659599</v>
      </c>
    </row>
    <row r="158" spans="1:21" x14ac:dyDescent="0.25">
      <c r="A158" t="s">
        <v>27</v>
      </c>
      <c r="B158" t="str">
        <f t="shared" si="8"/>
        <v>00216224</v>
      </c>
      <c r="C158" t="s">
        <v>116</v>
      </c>
      <c r="D158">
        <v>14410</v>
      </c>
      <c r="E158" t="s">
        <v>341</v>
      </c>
      <c r="F158">
        <v>1861</v>
      </c>
      <c r="G158">
        <v>11776.284979157999</v>
      </c>
      <c r="H158">
        <v>9287.3527994562992</v>
      </c>
      <c r="I158">
        <v>0</v>
      </c>
      <c r="J158">
        <v>0</v>
      </c>
      <c r="K158">
        <v>0</v>
      </c>
      <c r="L158">
        <v>53.63</v>
      </c>
      <c r="M158">
        <v>0</v>
      </c>
      <c r="N158">
        <v>1152.23</v>
      </c>
      <c r="O158">
        <v>1037.01</v>
      </c>
      <c r="P158">
        <v>0</v>
      </c>
      <c r="Q158">
        <v>0</v>
      </c>
      <c r="R158">
        <v>4.9563050192000002</v>
      </c>
      <c r="S158">
        <v>4.9563050192000002</v>
      </c>
      <c r="T158">
        <v>395.17399999999998</v>
      </c>
      <c r="U158">
        <f t="shared" si="7"/>
        <v>10724.493104475499</v>
      </c>
    </row>
    <row r="159" spans="1:21" x14ac:dyDescent="0.25">
      <c r="A159" t="s">
        <v>27</v>
      </c>
      <c r="B159" t="str">
        <f t="shared" si="8"/>
        <v>00216224</v>
      </c>
      <c r="C159" t="s">
        <v>116</v>
      </c>
      <c r="D159">
        <v>14510</v>
      </c>
      <c r="E159" t="s">
        <v>357</v>
      </c>
      <c r="F159">
        <v>216</v>
      </c>
      <c r="G159">
        <v>2102.3630251816999</v>
      </c>
      <c r="H159">
        <v>1495.5046189865</v>
      </c>
      <c r="I159">
        <v>0</v>
      </c>
      <c r="J159">
        <v>0</v>
      </c>
      <c r="K159">
        <v>0</v>
      </c>
      <c r="L159">
        <v>53.63</v>
      </c>
      <c r="M159">
        <v>0</v>
      </c>
      <c r="N159">
        <v>128.18899999999999</v>
      </c>
      <c r="O159">
        <v>115.37</v>
      </c>
      <c r="P159">
        <v>0</v>
      </c>
      <c r="Q159">
        <v>0</v>
      </c>
      <c r="R159">
        <v>1.848113736</v>
      </c>
      <c r="S159">
        <v>1.848113736</v>
      </c>
      <c r="T159">
        <v>5.1081599999999998</v>
      </c>
      <c r="U159">
        <f t="shared" si="7"/>
        <v>1617.8308927225</v>
      </c>
    </row>
    <row r="160" spans="1:21" x14ac:dyDescent="0.25">
      <c r="A160" t="s">
        <v>27</v>
      </c>
      <c r="B160" t="str">
        <f t="shared" si="8"/>
        <v>00216224</v>
      </c>
      <c r="C160" t="s">
        <v>116</v>
      </c>
      <c r="D160">
        <v>14560</v>
      </c>
      <c r="E160" t="s">
        <v>358</v>
      </c>
      <c r="F160">
        <v>891</v>
      </c>
      <c r="G160">
        <v>9464.3471736298998</v>
      </c>
      <c r="H160">
        <v>5367.5592206669999</v>
      </c>
      <c r="I160">
        <v>0</v>
      </c>
      <c r="J160">
        <v>0</v>
      </c>
      <c r="K160">
        <v>0</v>
      </c>
      <c r="L160">
        <v>53.63</v>
      </c>
      <c r="M160">
        <v>0</v>
      </c>
      <c r="N160">
        <v>446.279</v>
      </c>
      <c r="O160">
        <v>401.65100000000001</v>
      </c>
      <c r="P160">
        <v>0</v>
      </c>
      <c r="Q160">
        <v>0</v>
      </c>
      <c r="R160">
        <v>26.587636246999999</v>
      </c>
      <c r="S160">
        <v>26.587636246999999</v>
      </c>
      <c r="T160">
        <v>56.790399999999998</v>
      </c>
      <c r="U160">
        <f t="shared" si="7"/>
        <v>5852.5882569139994</v>
      </c>
    </row>
    <row r="161" spans="1:21" x14ac:dyDescent="0.25">
      <c r="A161" t="s">
        <v>27</v>
      </c>
      <c r="B161" t="str">
        <f t="shared" si="8"/>
        <v>00216224</v>
      </c>
      <c r="C161" t="s">
        <v>116</v>
      </c>
      <c r="D161">
        <v>14600</v>
      </c>
      <c r="E161" t="s">
        <v>359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53.63</v>
      </c>
      <c r="M161">
        <v>0</v>
      </c>
      <c r="N161">
        <v>0</v>
      </c>
      <c r="O161">
        <v>0</v>
      </c>
      <c r="P161">
        <v>0</v>
      </c>
      <c r="R161">
        <v>0</v>
      </c>
      <c r="S161">
        <v>0</v>
      </c>
      <c r="T161">
        <v>0</v>
      </c>
      <c r="U161">
        <f t="shared" si="7"/>
        <v>0</v>
      </c>
    </row>
    <row r="162" spans="1:21" x14ac:dyDescent="0.25">
      <c r="A162" t="s">
        <v>27</v>
      </c>
      <c r="B162" t="str">
        <f t="shared" si="8"/>
        <v>00216224</v>
      </c>
      <c r="C162" t="s">
        <v>116</v>
      </c>
      <c r="D162">
        <v>14610</v>
      </c>
      <c r="E162" t="s">
        <v>360</v>
      </c>
      <c r="F162">
        <v>48</v>
      </c>
      <c r="G162">
        <v>876.79037527953994</v>
      </c>
      <c r="H162">
        <v>537.28083876318999</v>
      </c>
      <c r="I162">
        <v>0</v>
      </c>
      <c r="J162">
        <v>0</v>
      </c>
      <c r="K162">
        <v>0</v>
      </c>
      <c r="L162">
        <v>53.63</v>
      </c>
      <c r="M162">
        <v>0</v>
      </c>
      <c r="N162">
        <v>75.461399999999998</v>
      </c>
      <c r="O162">
        <v>67.915300000000002</v>
      </c>
      <c r="P162">
        <v>50</v>
      </c>
      <c r="Q162">
        <v>50</v>
      </c>
      <c r="R162">
        <v>314.26334028489998</v>
      </c>
      <c r="S162">
        <v>364.26334028489998</v>
      </c>
      <c r="T162">
        <v>846.07399999999996</v>
      </c>
      <c r="U162">
        <f t="shared" si="7"/>
        <v>1815.5334790480899</v>
      </c>
    </row>
    <row r="163" spans="1:21" x14ac:dyDescent="0.25">
      <c r="A163" t="s">
        <v>27</v>
      </c>
      <c r="B163" t="str">
        <f t="shared" si="8"/>
        <v>00216224</v>
      </c>
      <c r="C163" t="s">
        <v>116</v>
      </c>
      <c r="D163">
        <v>14630</v>
      </c>
      <c r="E163" t="s">
        <v>361</v>
      </c>
      <c r="F163">
        <v>1</v>
      </c>
      <c r="G163">
        <v>40</v>
      </c>
      <c r="H163">
        <v>44.319000244141002</v>
      </c>
      <c r="I163">
        <v>0</v>
      </c>
      <c r="J163">
        <v>0</v>
      </c>
      <c r="K163">
        <v>0</v>
      </c>
      <c r="L163">
        <v>53.63</v>
      </c>
      <c r="M163">
        <v>0</v>
      </c>
      <c r="N163">
        <v>3.9887999999999999</v>
      </c>
      <c r="O163">
        <v>3.5899200000000002</v>
      </c>
      <c r="P163">
        <v>0</v>
      </c>
      <c r="R163">
        <v>0</v>
      </c>
      <c r="S163">
        <v>0</v>
      </c>
      <c r="T163">
        <v>0</v>
      </c>
      <c r="U163">
        <f t="shared" si="7"/>
        <v>47.908920244141001</v>
      </c>
    </row>
    <row r="164" spans="1:21" x14ac:dyDescent="0.25">
      <c r="A164" t="s">
        <v>27</v>
      </c>
      <c r="B164" t="str">
        <f t="shared" si="8"/>
        <v>00216224</v>
      </c>
      <c r="C164" t="s">
        <v>116</v>
      </c>
      <c r="D164">
        <v>14640</v>
      </c>
      <c r="E164" t="s">
        <v>362</v>
      </c>
      <c r="F164">
        <v>27</v>
      </c>
      <c r="G164">
        <v>308.76751127657002</v>
      </c>
      <c r="H164">
        <v>306.18065059494</v>
      </c>
      <c r="I164">
        <v>0</v>
      </c>
      <c r="J164">
        <v>0</v>
      </c>
      <c r="K164">
        <v>0</v>
      </c>
      <c r="L164">
        <v>53.63</v>
      </c>
      <c r="M164">
        <v>0</v>
      </c>
      <c r="N164">
        <v>17.909099999999999</v>
      </c>
      <c r="O164">
        <v>16.118200000000002</v>
      </c>
      <c r="P164">
        <v>0</v>
      </c>
      <c r="R164">
        <v>0</v>
      </c>
      <c r="S164">
        <v>0</v>
      </c>
      <c r="T164">
        <v>0</v>
      </c>
      <c r="U164">
        <f t="shared" si="7"/>
        <v>322.29885059494001</v>
      </c>
    </row>
    <row r="165" spans="1:21" x14ac:dyDescent="0.25">
      <c r="A165" t="s">
        <v>27</v>
      </c>
      <c r="B165" t="str">
        <f t="shared" si="8"/>
        <v>00216224</v>
      </c>
      <c r="C165" t="s">
        <v>116</v>
      </c>
      <c r="D165">
        <v>14650</v>
      </c>
      <c r="E165" t="s">
        <v>306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53.63</v>
      </c>
      <c r="M165">
        <v>0</v>
      </c>
      <c r="N165">
        <v>0</v>
      </c>
      <c r="O165">
        <v>0</v>
      </c>
      <c r="P165">
        <v>0</v>
      </c>
      <c r="R165">
        <v>0</v>
      </c>
      <c r="S165">
        <v>0</v>
      </c>
      <c r="T165">
        <v>0</v>
      </c>
      <c r="U165">
        <f t="shared" si="7"/>
        <v>0</v>
      </c>
    </row>
    <row r="166" spans="1:21" x14ac:dyDescent="0.25">
      <c r="A166" t="s">
        <v>27</v>
      </c>
      <c r="B166" t="str">
        <f t="shared" si="8"/>
        <v>00216224</v>
      </c>
      <c r="C166" t="s">
        <v>116</v>
      </c>
      <c r="D166">
        <v>14660</v>
      </c>
      <c r="E166" t="s">
        <v>363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53.63</v>
      </c>
      <c r="M166">
        <v>0</v>
      </c>
      <c r="N166">
        <v>0</v>
      </c>
      <c r="O166">
        <v>0</v>
      </c>
      <c r="P166">
        <v>0</v>
      </c>
      <c r="R166">
        <v>0</v>
      </c>
      <c r="S166">
        <v>0</v>
      </c>
      <c r="T166">
        <v>0</v>
      </c>
      <c r="U166">
        <f t="shared" si="7"/>
        <v>0</v>
      </c>
    </row>
    <row r="167" spans="1:21" x14ac:dyDescent="0.25">
      <c r="A167" t="s">
        <v>27</v>
      </c>
      <c r="B167" t="str">
        <f t="shared" si="8"/>
        <v>00216224</v>
      </c>
      <c r="C167" t="s">
        <v>116</v>
      </c>
      <c r="D167">
        <v>14670</v>
      </c>
      <c r="E167" t="s">
        <v>364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53.63</v>
      </c>
      <c r="M167">
        <v>0</v>
      </c>
      <c r="N167">
        <v>0</v>
      </c>
      <c r="O167">
        <v>0</v>
      </c>
      <c r="P167">
        <v>0</v>
      </c>
      <c r="R167">
        <v>0</v>
      </c>
      <c r="S167">
        <v>0</v>
      </c>
      <c r="T167">
        <v>0</v>
      </c>
      <c r="U167">
        <f t="shared" si="7"/>
        <v>0</v>
      </c>
    </row>
    <row r="168" spans="1:21" x14ac:dyDescent="0.25">
      <c r="A168" t="s">
        <v>27</v>
      </c>
      <c r="B168" t="str">
        <f t="shared" si="8"/>
        <v>00216224</v>
      </c>
      <c r="C168" t="s">
        <v>116</v>
      </c>
      <c r="D168">
        <v>14680</v>
      </c>
      <c r="E168" t="s">
        <v>365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53.63</v>
      </c>
      <c r="M168">
        <v>0</v>
      </c>
      <c r="N168">
        <v>0</v>
      </c>
      <c r="O168">
        <v>0</v>
      </c>
      <c r="P168">
        <v>0</v>
      </c>
      <c r="R168">
        <v>0</v>
      </c>
      <c r="S168">
        <v>0</v>
      </c>
      <c r="T168">
        <v>0</v>
      </c>
      <c r="U168">
        <f t="shared" si="7"/>
        <v>0</v>
      </c>
    </row>
    <row r="169" spans="1:21" x14ac:dyDescent="0.25">
      <c r="A169" t="s">
        <v>27</v>
      </c>
      <c r="B169" t="str">
        <f t="shared" si="8"/>
        <v>00216224</v>
      </c>
      <c r="C169" t="s">
        <v>116</v>
      </c>
      <c r="D169">
        <v>14690</v>
      </c>
      <c r="E169" t="s">
        <v>366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53.63</v>
      </c>
      <c r="M169">
        <v>0</v>
      </c>
      <c r="N169">
        <v>0</v>
      </c>
      <c r="O169">
        <v>0</v>
      </c>
      <c r="P169">
        <v>0</v>
      </c>
      <c r="R169">
        <v>0</v>
      </c>
      <c r="S169">
        <v>0</v>
      </c>
      <c r="T169">
        <v>0</v>
      </c>
      <c r="U169">
        <f t="shared" si="7"/>
        <v>0</v>
      </c>
    </row>
    <row r="170" spans="1:21" x14ac:dyDescent="0.25">
      <c r="A170" t="s">
        <v>27</v>
      </c>
      <c r="B170" t="str">
        <f t="shared" si="8"/>
        <v>00216224</v>
      </c>
      <c r="C170" t="s">
        <v>116</v>
      </c>
      <c r="D170">
        <v>14700</v>
      </c>
      <c r="E170" t="s">
        <v>367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53.63</v>
      </c>
      <c r="M170">
        <v>0</v>
      </c>
      <c r="N170">
        <v>0</v>
      </c>
      <c r="O170">
        <v>0</v>
      </c>
      <c r="P170">
        <v>0</v>
      </c>
      <c r="R170">
        <v>0</v>
      </c>
      <c r="S170">
        <v>0</v>
      </c>
      <c r="T170">
        <v>0</v>
      </c>
      <c r="U170">
        <f t="shared" si="7"/>
        <v>0</v>
      </c>
    </row>
    <row r="171" spans="1:21" x14ac:dyDescent="0.25">
      <c r="A171" t="s">
        <v>27</v>
      </c>
      <c r="B171" t="str">
        <f t="shared" si="8"/>
        <v>00216224</v>
      </c>
      <c r="C171" t="s">
        <v>116</v>
      </c>
      <c r="D171">
        <v>14710</v>
      </c>
      <c r="E171" t="s">
        <v>368</v>
      </c>
      <c r="F171">
        <v>4</v>
      </c>
      <c r="G171">
        <v>52.971333630879997</v>
      </c>
      <c r="H171">
        <v>35.418936506149997</v>
      </c>
      <c r="I171">
        <v>0</v>
      </c>
      <c r="J171">
        <v>0</v>
      </c>
      <c r="K171">
        <v>0</v>
      </c>
      <c r="L171">
        <v>53.63</v>
      </c>
      <c r="M171">
        <v>0</v>
      </c>
      <c r="N171">
        <v>23.3703</v>
      </c>
      <c r="O171">
        <v>21.033300000000001</v>
      </c>
      <c r="P171">
        <v>0</v>
      </c>
      <c r="Q171">
        <v>0</v>
      </c>
      <c r="R171">
        <v>192.0358182013</v>
      </c>
      <c r="S171">
        <v>192.0358182013</v>
      </c>
      <c r="T171">
        <v>387.26600000000002</v>
      </c>
      <c r="U171">
        <f t="shared" si="7"/>
        <v>635.75405470745</v>
      </c>
    </row>
    <row r="172" spans="1:21" x14ac:dyDescent="0.25">
      <c r="A172" t="s">
        <v>27</v>
      </c>
      <c r="B172" t="str">
        <f t="shared" si="8"/>
        <v>00216224</v>
      </c>
      <c r="C172" t="s">
        <v>116</v>
      </c>
      <c r="D172">
        <v>14720</v>
      </c>
      <c r="E172" t="s">
        <v>369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53.63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6.6784110003999997</v>
      </c>
      <c r="S172">
        <v>6.6784110003999997</v>
      </c>
      <c r="T172">
        <v>0</v>
      </c>
      <c r="U172">
        <f t="shared" si="7"/>
        <v>6.6784110003999997</v>
      </c>
    </row>
    <row r="173" spans="1:21" x14ac:dyDescent="0.25">
      <c r="A173" t="s">
        <v>27</v>
      </c>
      <c r="B173" t="str">
        <f t="shared" si="8"/>
        <v>00216224</v>
      </c>
      <c r="C173" t="s">
        <v>116</v>
      </c>
      <c r="D173">
        <v>14730</v>
      </c>
      <c r="E173" t="s">
        <v>370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53.63</v>
      </c>
      <c r="M173">
        <v>0</v>
      </c>
      <c r="N173">
        <v>0</v>
      </c>
      <c r="O173">
        <v>0</v>
      </c>
      <c r="P173">
        <v>0</v>
      </c>
      <c r="R173">
        <v>0</v>
      </c>
      <c r="S173">
        <v>0</v>
      </c>
      <c r="T173">
        <v>0</v>
      </c>
      <c r="U173">
        <f t="shared" si="7"/>
        <v>0</v>
      </c>
    </row>
    <row r="174" spans="1:21" x14ac:dyDescent="0.25">
      <c r="A174" t="s">
        <v>27</v>
      </c>
      <c r="B174" t="str">
        <f t="shared" si="8"/>
        <v>00216224</v>
      </c>
      <c r="C174" t="s">
        <v>116</v>
      </c>
      <c r="D174">
        <v>14740</v>
      </c>
      <c r="E174" t="s">
        <v>371</v>
      </c>
      <c r="F174">
        <v>985</v>
      </c>
      <c r="G174">
        <v>32757.947736556001</v>
      </c>
      <c r="H174">
        <v>34651.323017672999</v>
      </c>
      <c r="I174">
        <v>2</v>
      </c>
      <c r="J174">
        <v>2</v>
      </c>
      <c r="K174">
        <v>4000</v>
      </c>
      <c r="L174">
        <v>53.63</v>
      </c>
      <c r="M174">
        <v>3.2</v>
      </c>
      <c r="N174">
        <v>1841.09</v>
      </c>
      <c r="O174">
        <v>2342.34</v>
      </c>
      <c r="P174">
        <v>0</v>
      </c>
      <c r="Q174">
        <v>0</v>
      </c>
      <c r="R174">
        <v>759.21772351239997</v>
      </c>
      <c r="S174">
        <v>759.21772351239997</v>
      </c>
      <c r="T174">
        <v>995.54200000000003</v>
      </c>
      <c r="U174">
        <f t="shared" si="7"/>
        <v>42748.422741185394</v>
      </c>
    </row>
    <row r="175" spans="1:21" x14ac:dyDescent="0.25">
      <c r="A175" t="s">
        <v>27</v>
      </c>
      <c r="B175" t="str">
        <f t="shared" si="8"/>
        <v>00216224</v>
      </c>
      <c r="C175" t="s">
        <v>116</v>
      </c>
      <c r="D175">
        <v>14750</v>
      </c>
      <c r="E175" t="s">
        <v>372</v>
      </c>
      <c r="F175">
        <v>11</v>
      </c>
      <c r="G175">
        <v>266.26225046539003</v>
      </c>
      <c r="H175">
        <v>195.76715266536999</v>
      </c>
      <c r="I175">
        <v>0</v>
      </c>
      <c r="J175">
        <v>0</v>
      </c>
      <c r="K175">
        <v>0</v>
      </c>
      <c r="L175">
        <v>53.63</v>
      </c>
      <c r="M175">
        <v>0</v>
      </c>
      <c r="N175">
        <v>13.476599999999999</v>
      </c>
      <c r="O175">
        <v>12.1289</v>
      </c>
      <c r="P175">
        <v>0</v>
      </c>
      <c r="R175">
        <v>0</v>
      </c>
      <c r="S175">
        <v>0</v>
      </c>
      <c r="T175">
        <v>0</v>
      </c>
      <c r="U175">
        <f t="shared" si="7"/>
        <v>207.89605266536998</v>
      </c>
    </row>
    <row r="176" spans="1:21" x14ac:dyDescent="0.25">
      <c r="A176" t="s">
        <v>27</v>
      </c>
      <c r="B176" t="str">
        <f t="shared" si="8"/>
        <v>00216224</v>
      </c>
      <c r="C176" t="s">
        <v>116</v>
      </c>
      <c r="D176">
        <v>14760</v>
      </c>
      <c r="E176" t="s">
        <v>373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53.63</v>
      </c>
      <c r="M176">
        <v>0</v>
      </c>
      <c r="N176">
        <v>0</v>
      </c>
      <c r="O176">
        <v>0</v>
      </c>
      <c r="P176">
        <v>0</v>
      </c>
      <c r="R176">
        <v>0</v>
      </c>
      <c r="S176">
        <v>0</v>
      </c>
      <c r="T176">
        <v>0</v>
      </c>
      <c r="U176">
        <f t="shared" si="7"/>
        <v>0</v>
      </c>
    </row>
    <row r="177" spans="1:21" x14ac:dyDescent="0.25">
      <c r="A177" t="s">
        <v>27</v>
      </c>
      <c r="B177" t="str">
        <f t="shared" si="8"/>
        <v>00216224</v>
      </c>
      <c r="C177" t="s">
        <v>116</v>
      </c>
      <c r="D177">
        <v>14770</v>
      </c>
      <c r="E177" t="s">
        <v>374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53.63</v>
      </c>
      <c r="M177">
        <v>0</v>
      </c>
      <c r="N177">
        <v>0</v>
      </c>
      <c r="O177">
        <v>0</v>
      </c>
      <c r="P177">
        <v>0</v>
      </c>
      <c r="R177">
        <v>0</v>
      </c>
      <c r="S177">
        <v>0</v>
      </c>
      <c r="T177">
        <v>0</v>
      </c>
      <c r="U177">
        <f t="shared" si="7"/>
        <v>0</v>
      </c>
    </row>
    <row r="178" spans="1:21" x14ac:dyDescent="0.25">
      <c r="A178" t="s">
        <v>27</v>
      </c>
      <c r="B178" t="str">
        <f t="shared" si="8"/>
        <v>00216224</v>
      </c>
      <c r="C178" t="s">
        <v>116</v>
      </c>
      <c r="D178">
        <v>14810</v>
      </c>
      <c r="E178" t="s">
        <v>297</v>
      </c>
      <c r="F178">
        <v>1</v>
      </c>
      <c r="G178">
        <v>40</v>
      </c>
      <c r="H178">
        <v>28.378000259398998</v>
      </c>
      <c r="I178">
        <v>0</v>
      </c>
      <c r="J178">
        <v>0</v>
      </c>
      <c r="K178">
        <v>0</v>
      </c>
      <c r="L178">
        <v>53.63</v>
      </c>
      <c r="M178">
        <v>0</v>
      </c>
      <c r="N178">
        <v>2.5541999999999998</v>
      </c>
      <c r="O178">
        <v>2.2987799999999998</v>
      </c>
      <c r="P178">
        <v>0</v>
      </c>
      <c r="Q178">
        <v>0</v>
      </c>
      <c r="R178">
        <v>65.104006608099994</v>
      </c>
      <c r="S178">
        <v>65.104006608099994</v>
      </c>
      <c r="T178">
        <v>61.352899999999998</v>
      </c>
      <c r="U178">
        <f t="shared" si="7"/>
        <v>157.13368686749899</v>
      </c>
    </row>
    <row r="179" spans="1:21" x14ac:dyDescent="0.25">
      <c r="A179" t="s">
        <v>27</v>
      </c>
      <c r="B179" t="str">
        <f t="shared" si="8"/>
        <v>00216224</v>
      </c>
      <c r="C179" t="s">
        <v>116</v>
      </c>
      <c r="D179">
        <v>14830</v>
      </c>
      <c r="E179" t="s">
        <v>375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53.63</v>
      </c>
      <c r="M179">
        <v>0</v>
      </c>
      <c r="N179">
        <v>0</v>
      </c>
      <c r="O179">
        <v>0</v>
      </c>
      <c r="P179">
        <v>0</v>
      </c>
      <c r="R179">
        <v>0</v>
      </c>
      <c r="S179">
        <v>0</v>
      </c>
      <c r="T179">
        <v>0</v>
      </c>
      <c r="U179">
        <f t="shared" si="7"/>
        <v>0</v>
      </c>
    </row>
    <row r="180" spans="1:21" x14ac:dyDescent="0.25">
      <c r="A180" t="s">
        <v>27</v>
      </c>
      <c r="B180" t="str">
        <f t="shared" si="8"/>
        <v>00216224</v>
      </c>
      <c r="C180" t="s">
        <v>116</v>
      </c>
      <c r="D180">
        <v>14840</v>
      </c>
      <c r="E180" t="s">
        <v>376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53.63</v>
      </c>
      <c r="M180">
        <v>0</v>
      </c>
      <c r="N180">
        <v>0</v>
      </c>
      <c r="O180">
        <v>0</v>
      </c>
      <c r="P180">
        <v>0</v>
      </c>
      <c r="R180">
        <v>0</v>
      </c>
      <c r="S180">
        <v>0</v>
      </c>
      <c r="T180">
        <v>0</v>
      </c>
      <c r="U180">
        <f t="shared" si="7"/>
        <v>0</v>
      </c>
    </row>
    <row r="181" spans="1:21" x14ac:dyDescent="0.25">
      <c r="A181" t="s">
        <v>65</v>
      </c>
      <c r="B181" t="str">
        <f>"00209805"</f>
        <v>00209805</v>
      </c>
      <c r="C181" t="s">
        <v>117</v>
      </c>
      <c r="F181">
        <v>314</v>
      </c>
      <c r="G181">
        <v>4872.2310078352002</v>
      </c>
      <c r="H181">
        <v>4455.5736730668004</v>
      </c>
      <c r="I181">
        <v>0</v>
      </c>
      <c r="J181">
        <v>0</v>
      </c>
      <c r="K181">
        <v>0</v>
      </c>
      <c r="L181">
        <v>1.25</v>
      </c>
      <c r="M181">
        <v>0</v>
      </c>
      <c r="N181">
        <v>671.68499999999995</v>
      </c>
      <c r="O181">
        <v>604.51599999999996</v>
      </c>
      <c r="P181">
        <v>0</v>
      </c>
      <c r="Q181">
        <v>0</v>
      </c>
      <c r="R181">
        <v>263.69222805509997</v>
      </c>
      <c r="S181">
        <v>263.69222805509997</v>
      </c>
      <c r="T181">
        <v>558.45799999999997</v>
      </c>
      <c r="U181">
        <f t="shared" si="7"/>
        <v>5882.2399011218995</v>
      </c>
    </row>
    <row r="182" spans="1:21" x14ac:dyDescent="0.25">
      <c r="A182" t="s">
        <v>42</v>
      </c>
      <c r="B182" t="str">
        <f>"67985921"</f>
        <v>67985921</v>
      </c>
      <c r="C182" t="s">
        <v>118</v>
      </c>
      <c r="F182">
        <v>289</v>
      </c>
      <c r="G182">
        <v>4388.7658012106003</v>
      </c>
      <c r="H182">
        <v>3612.4968821174998</v>
      </c>
      <c r="I182">
        <v>0</v>
      </c>
      <c r="J182">
        <v>0</v>
      </c>
      <c r="K182">
        <v>0</v>
      </c>
      <c r="L182">
        <v>3</v>
      </c>
      <c r="M182">
        <v>0</v>
      </c>
      <c r="N182">
        <v>353.84699999999998</v>
      </c>
      <c r="O182">
        <v>318.46199999999999</v>
      </c>
      <c r="P182">
        <v>0</v>
      </c>
      <c r="R182">
        <v>0</v>
      </c>
      <c r="S182">
        <v>0</v>
      </c>
      <c r="T182">
        <v>0</v>
      </c>
      <c r="U182">
        <f t="shared" si="7"/>
        <v>3930.9588821174998</v>
      </c>
    </row>
    <row r="183" spans="1:21" x14ac:dyDescent="0.25">
      <c r="A183" t="s">
        <v>42</v>
      </c>
      <c r="B183" t="str">
        <f>"67985840"</f>
        <v>67985840</v>
      </c>
      <c r="C183" t="s">
        <v>119</v>
      </c>
      <c r="F183">
        <v>701</v>
      </c>
      <c r="G183">
        <v>17927.053048652</v>
      </c>
      <c r="H183">
        <v>15553.026573251</v>
      </c>
      <c r="I183">
        <v>2</v>
      </c>
      <c r="J183">
        <v>2</v>
      </c>
      <c r="K183">
        <v>4000</v>
      </c>
      <c r="L183">
        <v>5</v>
      </c>
      <c r="M183">
        <v>2.17</v>
      </c>
      <c r="N183">
        <v>2639.94</v>
      </c>
      <c r="O183">
        <v>2879.48</v>
      </c>
      <c r="P183">
        <v>0</v>
      </c>
      <c r="R183">
        <v>0</v>
      </c>
      <c r="S183">
        <v>0</v>
      </c>
      <c r="T183">
        <v>61.646999999999998</v>
      </c>
      <c r="U183">
        <f t="shared" si="7"/>
        <v>22494.153573251002</v>
      </c>
    </row>
    <row r="184" spans="1:21" x14ac:dyDescent="0.25">
      <c r="A184" t="s">
        <v>63</v>
      </c>
      <c r="B184" t="str">
        <f>"25870807"</f>
        <v>25870807</v>
      </c>
      <c r="C184" t="s">
        <v>120</v>
      </c>
      <c r="F184">
        <v>30</v>
      </c>
      <c r="G184">
        <v>150.52453931661</v>
      </c>
      <c r="H184">
        <v>122.53032218426</v>
      </c>
      <c r="I184">
        <v>0</v>
      </c>
      <c r="J184">
        <v>0</v>
      </c>
      <c r="K184">
        <v>0</v>
      </c>
      <c r="L184">
        <v>1</v>
      </c>
      <c r="M184">
        <v>0</v>
      </c>
      <c r="N184">
        <v>180.51</v>
      </c>
      <c r="O184">
        <v>162.459</v>
      </c>
      <c r="P184">
        <v>0</v>
      </c>
      <c r="Q184">
        <v>0</v>
      </c>
      <c r="R184">
        <v>173.36566920959999</v>
      </c>
      <c r="S184">
        <v>173.36566920959999</v>
      </c>
      <c r="T184">
        <v>1214.51</v>
      </c>
      <c r="U184">
        <f t="shared" si="7"/>
        <v>1672.86499139386</v>
      </c>
    </row>
    <row r="185" spans="1:21" x14ac:dyDescent="0.25">
      <c r="A185" t="s">
        <v>63</v>
      </c>
      <c r="B185" t="str">
        <f>"28676092"</f>
        <v>28676092</v>
      </c>
      <c r="C185" t="s">
        <v>121</v>
      </c>
      <c r="F185">
        <v>27</v>
      </c>
      <c r="G185">
        <v>453.48694973808</v>
      </c>
      <c r="H185">
        <v>357.83634014008999</v>
      </c>
      <c r="I185">
        <v>0</v>
      </c>
      <c r="J185">
        <v>0</v>
      </c>
      <c r="K185">
        <v>0</v>
      </c>
      <c r="L185">
        <v>1</v>
      </c>
      <c r="M185">
        <v>0</v>
      </c>
      <c r="N185">
        <v>134.173</v>
      </c>
      <c r="O185">
        <v>120.756</v>
      </c>
      <c r="P185">
        <v>0</v>
      </c>
      <c r="Q185">
        <v>0</v>
      </c>
      <c r="R185">
        <v>405.63996375319999</v>
      </c>
      <c r="S185">
        <v>405.63996375319999</v>
      </c>
      <c r="T185">
        <v>2010.25</v>
      </c>
      <c r="U185">
        <f t="shared" si="7"/>
        <v>2894.48230389329</v>
      </c>
    </row>
    <row r="186" spans="1:21" x14ac:dyDescent="0.25">
      <c r="A186" t="s">
        <v>27</v>
      </c>
      <c r="B186" t="str">
        <f t="shared" ref="B186:B200" si="9">"62156489"</f>
        <v>62156489</v>
      </c>
      <c r="C186" t="s">
        <v>122</v>
      </c>
      <c r="E186" t="s">
        <v>287</v>
      </c>
      <c r="F186">
        <v>3</v>
      </c>
      <c r="G186">
        <v>35.696999549866</v>
      </c>
      <c r="H186">
        <v>41.323000431060997</v>
      </c>
      <c r="I186">
        <v>0</v>
      </c>
      <c r="J186">
        <v>0</v>
      </c>
      <c r="K186">
        <v>0</v>
      </c>
      <c r="L186">
        <v>13</v>
      </c>
      <c r="M186">
        <v>0</v>
      </c>
      <c r="N186">
        <v>5.6627999999999998</v>
      </c>
      <c r="O186">
        <v>5.0965199999999999</v>
      </c>
      <c r="P186">
        <v>0</v>
      </c>
      <c r="R186">
        <v>0</v>
      </c>
      <c r="S186">
        <v>0</v>
      </c>
      <c r="T186">
        <v>0</v>
      </c>
      <c r="U186">
        <f t="shared" si="7"/>
        <v>46.419520431060995</v>
      </c>
    </row>
    <row r="187" spans="1:21" x14ac:dyDescent="0.25">
      <c r="A187" t="s">
        <v>27</v>
      </c>
      <c r="B187" t="str">
        <f t="shared" si="9"/>
        <v>62156489</v>
      </c>
      <c r="C187" t="s">
        <v>122</v>
      </c>
      <c r="D187">
        <v>43110</v>
      </c>
      <c r="E187" t="s">
        <v>298</v>
      </c>
      <c r="F187">
        <v>801</v>
      </c>
      <c r="G187">
        <v>10413.663592946001</v>
      </c>
      <c r="H187">
        <v>7606.5748800600004</v>
      </c>
      <c r="I187">
        <v>0</v>
      </c>
      <c r="J187">
        <v>0</v>
      </c>
      <c r="K187">
        <v>0</v>
      </c>
      <c r="L187">
        <v>13</v>
      </c>
      <c r="M187">
        <v>0</v>
      </c>
      <c r="N187">
        <v>670.06700000000001</v>
      </c>
      <c r="O187">
        <v>603.05999999999995</v>
      </c>
      <c r="P187">
        <v>0</v>
      </c>
      <c r="Q187">
        <v>0</v>
      </c>
      <c r="R187">
        <v>41.477552597100001</v>
      </c>
      <c r="S187">
        <v>41.477552597100001</v>
      </c>
      <c r="T187">
        <v>158.46</v>
      </c>
      <c r="U187">
        <f t="shared" si="7"/>
        <v>8409.5724326570999</v>
      </c>
    </row>
    <row r="188" spans="1:21" x14ac:dyDescent="0.25">
      <c r="A188" t="s">
        <v>27</v>
      </c>
      <c r="B188" t="str">
        <f t="shared" si="9"/>
        <v>62156489</v>
      </c>
      <c r="C188" t="s">
        <v>122</v>
      </c>
      <c r="D188">
        <v>43210</v>
      </c>
      <c r="E188" t="s">
        <v>377</v>
      </c>
      <c r="F188">
        <v>1707</v>
      </c>
      <c r="G188">
        <v>23607.970464276001</v>
      </c>
      <c r="H188">
        <v>22672.060224981</v>
      </c>
      <c r="I188">
        <v>0</v>
      </c>
      <c r="J188">
        <v>0</v>
      </c>
      <c r="K188">
        <v>0</v>
      </c>
      <c r="L188">
        <v>13</v>
      </c>
      <c r="M188">
        <v>0.8</v>
      </c>
      <c r="N188">
        <v>2009.02</v>
      </c>
      <c r="O188">
        <v>1939.64</v>
      </c>
      <c r="P188">
        <v>20</v>
      </c>
      <c r="Q188">
        <v>10</v>
      </c>
      <c r="R188">
        <v>698.62899478209999</v>
      </c>
      <c r="S188">
        <v>708.62899478209999</v>
      </c>
      <c r="T188">
        <v>2085.7800000000002</v>
      </c>
      <c r="U188">
        <f t="shared" si="7"/>
        <v>27406.109219763097</v>
      </c>
    </row>
    <row r="189" spans="1:21" x14ac:dyDescent="0.25">
      <c r="A189" t="s">
        <v>27</v>
      </c>
      <c r="B189" t="str">
        <f t="shared" si="9"/>
        <v>62156489</v>
      </c>
      <c r="C189" t="s">
        <v>122</v>
      </c>
      <c r="D189">
        <v>43310</v>
      </c>
      <c r="E189" t="s">
        <v>378</v>
      </c>
      <c r="F189">
        <v>206</v>
      </c>
      <c r="G189">
        <v>2450.1063969690999</v>
      </c>
      <c r="H189">
        <v>1597.6541497190001</v>
      </c>
      <c r="I189">
        <v>0</v>
      </c>
      <c r="J189">
        <v>0</v>
      </c>
      <c r="K189">
        <v>0</v>
      </c>
      <c r="L189">
        <v>13</v>
      </c>
      <c r="M189">
        <v>0</v>
      </c>
      <c r="N189">
        <v>78.264899999999997</v>
      </c>
      <c r="O189">
        <v>70.438400000000001</v>
      </c>
      <c r="P189">
        <v>0</v>
      </c>
      <c r="Q189">
        <v>0</v>
      </c>
      <c r="R189">
        <v>10.080620378100001</v>
      </c>
      <c r="S189">
        <v>10.080620378100001</v>
      </c>
      <c r="T189">
        <v>2.306</v>
      </c>
      <c r="U189">
        <f t="shared" si="7"/>
        <v>1680.4791700971002</v>
      </c>
    </row>
    <row r="190" spans="1:21" x14ac:dyDescent="0.25">
      <c r="A190" t="s">
        <v>27</v>
      </c>
      <c r="B190" t="str">
        <f t="shared" si="9"/>
        <v>62156489</v>
      </c>
      <c r="C190" t="s">
        <v>122</v>
      </c>
      <c r="D190">
        <v>43410</v>
      </c>
      <c r="E190" t="s">
        <v>379</v>
      </c>
      <c r="F190">
        <v>979</v>
      </c>
      <c r="G190">
        <v>17923.861678854999</v>
      </c>
      <c r="H190">
        <v>16932.046408440001</v>
      </c>
      <c r="I190">
        <v>0</v>
      </c>
      <c r="J190">
        <v>0</v>
      </c>
      <c r="K190">
        <v>0</v>
      </c>
      <c r="L190">
        <v>13</v>
      </c>
      <c r="M190">
        <v>0</v>
      </c>
      <c r="N190">
        <v>1670.08</v>
      </c>
      <c r="O190">
        <v>1503.07</v>
      </c>
      <c r="P190">
        <v>130</v>
      </c>
      <c r="Q190">
        <v>127.5</v>
      </c>
      <c r="R190">
        <v>244.43404287460001</v>
      </c>
      <c r="S190">
        <v>371.93404287459998</v>
      </c>
      <c r="T190">
        <v>2065.2600000000002</v>
      </c>
      <c r="U190">
        <f t="shared" si="7"/>
        <v>20872.310451314603</v>
      </c>
    </row>
    <row r="191" spans="1:21" x14ac:dyDescent="0.25">
      <c r="A191" t="s">
        <v>27</v>
      </c>
      <c r="B191" t="str">
        <f t="shared" si="9"/>
        <v>62156489</v>
      </c>
      <c r="C191" t="s">
        <v>122</v>
      </c>
      <c r="D191">
        <v>43510</v>
      </c>
      <c r="E191" t="s">
        <v>380</v>
      </c>
      <c r="F191">
        <v>308</v>
      </c>
      <c r="G191">
        <v>3837.7568501259002</v>
      </c>
      <c r="H191">
        <v>3452.3036971893998</v>
      </c>
      <c r="I191">
        <v>0</v>
      </c>
      <c r="J191">
        <v>0</v>
      </c>
      <c r="K191">
        <v>0</v>
      </c>
      <c r="L191">
        <v>13</v>
      </c>
      <c r="M191">
        <v>0</v>
      </c>
      <c r="N191">
        <v>393.81</v>
      </c>
      <c r="O191">
        <v>354.42899999999997</v>
      </c>
      <c r="P191">
        <v>60</v>
      </c>
      <c r="Q191">
        <v>54.444444656371999</v>
      </c>
      <c r="R191">
        <v>342.13205537160002</v>
      </c>
      <c r="S191">
        <v>396.576500028</v>
      </c>
      <c r="T191">
        <v>1246.76</v>
      </c>
      <c r="U191">
        <f t="shared" si="7"/>
        <v>5450.0691972174</v>
      </c>
    </row>
    <row r="192" spans="1:21" x14ac:dyDescent="0.25">
      <c r="A192" t="s">
        <v>27</v>
      </c>
      <c r="B192" t="str">
        <f t="shared" si="9"/>
        <v>62156489</v>
      </c>
      <c r="C192" t="s">
        <v>122</v>
      </c>
      <c r="D192">
        <v>43610</v>
      </c>
      <c r="E192" t="s">
        <v>381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13</v>
      </c>
      <c r="M192">
        <v>0</v>
      </c>
      <c r="N192">
        <v>0</v>
      </c>
      <c r="O192">
        <v>0</v>
      </c>
      <c r="P192">
        <v>0</v>
      </c>
      <c r="R192">
        <v>0</v>
      </c>
      <c r="S192">
        <v>0</v>
      </c>
      <c r="T192">
        <v>0</v>
      </c>
      <c r="U192">
        <f t="shared" si="7"/>
        <v>0</v>
      </c>
    </row>
    <row r="193" spans="1:21" x14ac:dyDescent="0.25">
      <c r="A193" t="s">
        <v>27</v>
      </c>
      <c r="B193" t="str">
        <f t="shared" si="9"/>
        <v>62156489</v>
      </c>
      <c r="C193" t="s">
        <v>122</v>
      </c>
      <c r="D193">
        <v>43620</v>
      </c>
      <c r="E193" t="s">
        <v>360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13</v>
      </c>
      <c r="M193">
        <v>0</v>
      </c>
      <c r="N193">
        <v>0</v>
      </c>
      <c r="O193">
        <v>0</v>
      </c>
      <c r="P193">
        <v>0</v>
      </c>
      <c r="R193">
        <v>0</v>
      </c>
      <c r="S193">
        <v>0</v>
      </c>
      <c r="T193">
        <v>0</v>
      </c>
      <c r="U193">
        <f t="shared" si="7"/>
        <v>0</v>
      </c>
    </row>
    <row r="194" spans="1:21" x14ac:dyDescent="0.25">
      <c r="A194" t="s">
        <v>27</v>
      </c>
      <c r="B194" t="str">
        <f t="shared" si="9"/>
        <v>62156489</v>
      </c>
      <c r="C194" t="s">
        <v>122</v>
      </c>
      <c r="D194">
        <v>43630</v>
      </c>
      <c r="E194" t="s">
        <v>382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13</v>
      </c>
      <c r="M194">
        <v>0</v>
      </c>
      <c r="N194">
        <v>0</v>
      </c>
      <c r="O194">
        <v>0</v>
      </c>
      <c r="P194">
        <v>0</v>
      </c>
      <c r="R194">
        <v>0</v>
      </c>
      <c r="S194">
        <v>0</v>
      </c>
      <c r="T194">
        <v>0</v>
      </c>
      <c r="U194">
        <f t="shared" si="7"/>
        <v>0</v>
      </c>
    </row>
    <row r="195" spans="1:21" x14ac:dyDescent="0.25">
      <c r="A195" t="s">
        <v>27</v>
      </c>
      <c r="B195" t="str">
        <f t="shared" si="9"/>
        <v>62156489</v>
      </c>
      <c r="C195" t="s">
        <v>122</v>
      </c>
      <c r="D195">
        <v>43640</v>
      </c>
      <c r="E195" t="s">
        <v>383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13</v>
      </c>
      <c r="M195">
        <v>0</v>
      </c>
      <c r="N195">
        <v>0</v>
      </c>
      <c r="O195">
        <v>0</v>
      </c>
      <c r="P195">
        <v>0</v>
      </c>
      <c r="R195">
        <v>0</v>
      </c>
      <c r="S195">
        <v>0</v>
      </c>
      <c r="T195">
        <v>0</v>
      </c>
      <c r="U195">
        <f t="shared" si="7"/>
        <v>0</v>
      </c>
    </row>
    <row r="196" spans="1:21" x14ac:dyDescent="0.25">
      <c r="A196" t="s">
        <v>27</v>
      </c>
      <c r="B196" t="str">
        <f t="shared" si="9"/>
        <v>62156489</v>
      </c>
      <c r="C196" t="s">
        <v>122</v>
      </c>
      <c r="D196">
        <v>43650</v>
      </c>
      <c r="E196" t="s">
        <v>384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13</v>
      </c>
      <c r="M196">
        <v>0</v>
      </c>
      <c r="N196">
        <v>0</v>
      </c>
      <c r="O196">
        <v>0</v>
      </c>
      <c r="P196">
        <v>0</v>
      </c>
      <c r="R196">
        <v>0</v>
      </c>
      <c r="S196">
        <v>0</v>
      </c>
      <c r="T196">
        <v>0</v>
      </c>
      <c r="U196">
        <f t="shared" ref="U196:U259" si="10">H196+K196+O196+S196+T196</f>
        <v>0</v>
      </c>
    </row>
    <row r="197" spans="1:21" x14ac:dyDescent="0.25">
      <c r="A197" t="s">
        <v>27</v>
      </c>
      <c r="B197" t="str">
        <f t="shared" si="9"/>
        <v>62156489</v>
      </c>
      <c r="C197" t="s">
        <v>122</v>
      </c>
      <c r="D197">
        <v>43660</v>
      </c>
      <c r="E197" t="s">
        <v>385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13</v>
      </c>
      <c r="M197">
        <v>0</v>
      </c>
      <c r="N197">
        <v>9.6111000000000004</v>
      </c>
      <c r="O197">
        <v>8.6499900000000007</v>
      </c>
      <c r="P197">
        <v>0</v>
      </c>
      <c r="R197">
        <v>0</v>
      </c>
      <c r="S197">
        <v>0</v>
      </c>
      <c r="T197">
        <v>101.06100000000001</v>
      </c>
      <c r="U197">
        <f t="shared" si="10"/>
        <v>109.71099000000001</v>
      </c>
    </row>
    <row r="198" spans="1:21" x14ac:dyDescent="0.25">
      <c r="A198" t="s">
        <v>27</v>
      </c>
      <c r="B198" t="str">
        <f t="shared" si="9"/>
        <v>62156489</v>
      </c>
      <c r="C198" t="s">
        <v>122</v>
      </c>
      <c r="D198">
        <v>43670</v>
      </c>
      <c r="E198" t="s">
        <v>386</v>
      </c>
      <c r="F198">
        <v>59</v>
      </c>
      <c r="G198">
        <v>459.08075430547001</v>
      </c>
      <c r="H198">
        <v>344.52830611156003</v>
      </c>
      <c r="I198">
        <v>0</v>
      </c>
      <c r="J198">
        <v>0</v>
      </c>
      <c r="K198">
        <v>0</v>
      </c>
      <c r="L198">
        <v>13</v>
      </c>
      <c r="M198">
        <v>0</v>
      </c>
      <c r="N198">
        <v>26.622900000000001</v>
      </c>
      <c r="O198">
        <v>23.960599999999999</v>
      </c>
      <c r="P198">
        <v>0</v>
      </c>
      <c r="R198">
        <v>0</v>
      </c>
      <c r="S198">
        <v>0</v>
      </c>
      <c r="T198">
        <v>0</v>
      </c>
      <c r="U198">
        <f t="shared" si="10"/>
        <v>368.48890611156003</v>
      </c>
    </row>
    <row r="199" spans="1:21" x14ac:dyDescent="0.25">
      <c r="A199" t="s">
        <v>27</v>
      </c>
      <c r="B199" t="str">
        <f t="shared" si="9"/>
        <v>62156489</v>
      </c>
      <c r="C199" t="s">
        <v>122</v>
      </c>
      <c r="D199">
        <v>43680</v>
      </c>
      <c r="E199" t="s">
        <v>387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13</v>
      </c>
      <c r="M199">
        <v>0</v>
      </c>
      <c r="N199">
        <v>0</v>
      </c>
      <c r="O199">
        <v>0</v>
      </c>
      <c r="P199">
        <v>0</v>
      </c>
      <c r="R199">
        <v>0</v>
      </c>
      <c r="S199">
        <v>0</v>
      </c>
      <c r="T199">
        <v>0</v>
      </c>
      <c r="U199">
        <f t="shared" si="10"/>
        <v>0</v>
      </c>
    </row>
    <row r="200" spans="1:21" x14ac:dyDescent="0.25">
      <c r="A200" t="s">
        <v>27</v>
      </c>
      <c r="B200" t="str">
        <f t="shared" si="9"/>
        <v>62156489</v>
      </c>
      <c r="C200" t="s">
        <v>122</v>
      </c>
      <c r="D200">
        <v>43810</v>
      </c>
      <c r="E200" t="s">
        <v>297</v>
      </c>
      <c r="F200">
        <v>4</v>
      </c>
      <c r="G200">
        <v>10.269379166666999</v>
      </c>
      <c r="H200">
        <v>3.6653082307765001</v>
      </c>
      <c r="I200">
        <v>0</v>
      </c>
      <c r="J200">
        <v>0</v>
      </c>
      <c r="K200">
        <v>0</v>
      </c>
      <c r="L200">
        <v>13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60.189704173800003</v>
      </c>
      <c r="S200">
        <v>60.189704173800003</v>
      </c>
      <c r="T200">
        <v>0</v>
      </c>
      <c r="U200">
        <f t="shared" si="10"/>
        <v>63.855012404576506</v>
      </c>
    </row>
    <row r="201" spans="1:21" x14ac:dyDescent="0.25">
      <c r="A201" t="s">
        <v>27</v>
      </c>
      <c r="B201" t="str">
        <f>"24839523"</f>
        <v>24839523</v>
      </c>
      <c r="C201" t="s">
        <v>123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R201">
        <v>0</v>
      </c>
      <c r="S201">
        <v>0</v>
      </c>
      <c r="T201">
        <v>4.2169999999999996</v>
      </c>
      <c r="U201">
        <f t="shared" si="10"/>
        <v>4.2169999999999996</v>
      </c>
    </row>
    <row r="202" spans="1:21" x14ac:dyDescent="0.25">
      <c r="A202" t="s">
        <v>27</v>
      </c>
      <c r="B202" t="str">
        <f>"26482789"</f>
        <v>26482789</v>
      </c>
      <c r="C202" t="s">
        <v>124</v>
      </c>
      <c r="F202">
        <v>388</v>
      </c>
      <c r="G202">
        <v>5523.0514336938004</v>
      </c>
      <c r="H202">
        <v>4473.2577843986001</v>
      </c>
      <c r="I202">
        <v>0</v>
      </c>
      <c r="J202">
        <v>0</v>
      </c>
      <c r="K202">
        <v>0</v>
      </c>
      <c r="L202">
        <v>1</v>
      </c>
      <c r="M202">
        <v>0</v>
      </c>
      <c r="N202">
        <v>258.11200000000002</v>
      </c>
      <c r="O202">
        <v>232.30099999999999</v>
      </c>
      <c r="P202">
        <v>0</v>
      </c>
      <c r="R202">
        <v>0</v>
      </c>
      <c r="S202">
        <v>0</v>
      </c>
      <c r="T202">
        <v>0</v>
      </c>
      <c r="U202">
        <f t="shared" si="10"/>
        <v>4705.5587843986004</v>
      </c>
    </row>
    <row r="203" spans="1:21" x14ac:dyDescent="0.25">
      <c r="A203" t="s">
        <v>42</v>
      </c>
      <c r="B203" t="str">
        <f>"61388971"</f>
        <v>61388971</v>
      </c>
      <c r="C203" t="s">
        <v>125</v>
      </c>
      <c r="F203">
        <v>984</v>
      </c>
      <c r="G203">
        <v>31917.706224176</v>
      </c>
      <c r="H203">
        <v>32055.725552364001</v>
      </c>
      <c r="I203">
        <v>0</v>
      </c>
      <c r="J203">
        <v>0</v>
      </c>
      <c r="K203">
        <v>0</v>
      </c>
      <c r="L203">
        <v>16</v>
      </c>
      <c r="M203">
        <v>1.95</v>
      </c>
      <c r="N203">
        <v>4284.1099999999997</v>
      </c>
      <c r="O203">
        <v>4085.17</v>
      </c>
      <c r="P203">
        <v>550</v>
      </c>
      <c r="Q203">
        <v>302.63492512702999</v>
      </c>
      <c r="R203">
        <v>481.72764631479998</v>
      </c>
      <c r="S203">
        <v>784.36257144189995</v>
      </c>
      <c r="T203">
        <v>2081.81</v>
      </c>
      <c r="U203">
        <f t="shared" si="10"/>
        <v>39007.068123805904</v>
      </c>
    </row>
    <row r="204" spans="1:21" x14ac:dyDescent="0.25">
      <c r="A204" t="s">
        <v>27</v>
      </c>
      <c r="B204" t="str">
        <f>"60111623"</f>
        <v>60111623</v>
      </c>
      <c r="C204" t="s">
        <v>126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3.1949999999999998</v>
      </c>
      <c r="O204">
        <v>2.8755000000000002</v>
      </c>
      <c r="P204">
        <v>0</v>
      </c>
      <c r="Q204">
        <v>0</v>
      </c>
      <c r="R204">
        <v>18.733152869200001</v>
      </c>
      <c r="S204">
        <v>18.733152869200001</v>
      </c>
      <c r="T204">
        <v>70.581100000000006</v>
      </c>
      <c r="U204">
        <f t="shared" si="10"/>
        <v>92.189752869200007</v>
      </c>
    </row>
    <row r="205" spans="1:21" x14ac:dyDescent="0.25">
      <c r="A205" t="s">
        <v>56</v>
      </c>
      <c r="B205" t="str">
        <f t="shared" ref="B205:B212" si="11">"60162694"</f>
        <v>60162694</v>
      </c>
      <c r="C205" t="s">
        <v>127</v>
      </c>
      <c r="D205" t="s">
        <v>388</v>
      </c>
      <c r="E205" t="s">
        <v>389</v>
      </c>
      <c r="F205">
        <v>1</v>
      </c>
      <c r="G205">
        <v>8.2755666666666006</v>
      </c>
      <c r="H205">
        <v>7.8609658206245001</v>
      </c>
      <c r="I205">
        <v>0</v>
      </c>
      <c r="J205">
        <v>0</v>
      </c>
      <c r="K205">
        <v>0</v>
      </c>
      <c r="L205">
        <v>8</v>
      </c>
      <c r="M205">
        <v>0</v>
      </c>
      <c r="N205">
        <v>0</v>
      </c>
      <c r="O205">
        <v>0</v>
      </c>
      <c r="P205">
        <v>0</v>
      </c>
      <c r="R205">
        <v>0</v>
      </c>
      <c r="S205">
        <v>0</v>
      </c>
      <c r="T205">
        <v>0</v>
      </c>
      <c r="U205">
        <f t="shared" si="10"/>
        <v>7.8609658206245001</v>
      </c>
    </row>
    <row r="206" spans="1:21" x14ac:dyDescent="0.25">
      <c r="A206" t="s">
        <v>56</v>
      </c>
      <c r="B206" t="str">
        <f t="shared" si="11"/>
        <v>60162694</v>
      </c>
      <c r="C206" t="s">
        <v>127</v>
      </c>
      <c r="D206" t="s">
        <v>390</v>
      </c>
      <c r="E206" t="s">
        <v>391</v>
      </c>
      <c r="F206">
        <v>1</v>
      </c>
      <c r="G206">
        <v>8.3411777777777001</v>
      </c>
      <c r="H206">
        <v>6.5497650988689999</v>
      </c>
      <c r="I206">
        <v>0</v>
      </c>
      <c r="J206">
        <v>0</v>
      </c>
      <c r="K206">
        <v>0</v>
      </c>
      <c r="L206">
        <v>8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126.13376248</v>
      </c>
      <c r="S206">
        <v>126.13376248</v>
      </c>
      <c r="T206">
        <v>43.165100000000002</v>
      </c>
      <c r="U206">
        <f t="shared" si="10"/>
        <v>175.84862757886899</v>
      </c>
    </row>
    <row r="207" spans="1:21" x14ac:dyDescent="0.25">
      <c r="A207" t="s">
        <v>56</v>
      </c>
      <c r="B207" t="str">
        <f t="shared" si="11"/>
        <v>60162694</v>
      </c>
      <c r="C207" t="s">
        <v>127</v>
      </c>
      <c r="D207" t="s">
        <v>392</v>
      </c>
      <c r="E207" t="s">
        <v>393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6.9934303873000001</v>
      </c>
      <c r="S207">
        <v>6.9934303873000001</v>
      </c>
      <c r="T207">
        <v>0</v>
      </c>
      <c r="U207">
        <f t="shared" si="10"/>
        <v>6.9934303873000001</v>
      </c>
    </row>
    <row r="208" spans="1:21" x14ac:dyDescent="0.25">
      <c r="A208" t="s">
        <v>56</v>
      </c>
      <c r="B208" t="str">
        <f t="shared" si="11"/>
        <v>60162694</v>
      </c>
      <c r="C208" t="s">
        <v>127</v>
      </c>
      <c r="D208" t="s">
        <v>394</v>
      </c>
      <c r="E208" t="s">
        <v>395</v>
      </c>
      <c r="F208">
        <v>10</v>
      </c>
      <c r="G208">
        <v>100.84137396929999</v>
      </c>
      <c r="H208">
        <v>42.709249460923999</v>
      </c>
      <c r="I208">
        <v>0</v>
      </c>
      <c r="J208">
        <v>0</v>
      </c>
      <c r="K208">
        <v>0</v>
      </c>
      <c r="L208">
        <v>8</v>
      </c>
      <c r="M208">
        <v>0</v>
      </c>
      <c r="N208">
        <v>30.273299999999999</v>
      </c>
      <c r="O208">
        <v>27.245999999999999</v>
      </c>
      <c r="P208">
        <v>0</v>
      </c>
      <c r="Q208">
        <v>0</v>
      </c>
      <c r="R208">
        <v>25.306557407300001</v>
      </c>
      <c r="S208">
        <v>25.306557407300001</v>
      </c>
      <c r="T208">
        <v>227.32</v>
      </c>
      <c r="U208">
        <f t="shared" si="10"/>
        <v>322.58180686822402</v>
      </c>
    </row>
    <row r="209" spans="1:21" x14ac:dyDescent="0.25">
      <c r="A209" t="s">
        <v>56</v>
      </c>
      <c r="B209" t="str">
        <f t="shared" si="11"/>
        <v>60162694</v>
      </c>
      <c r="C209" t="s">
        <v>127</v>
      </c>
      <c r="D209" t="s">
        <v>396</v>
      </c>
      <c r="E209" t="s">
        <v>397</v>
      </c>
      <c r="F209">
        <v>252</v>
      </c>
      <c r="G209">
        <v>2609.3335175380998</v>
      </c>
      <c r="H209">
        <v>2082.1803652187</v>
      </c>
      <c r="I209">
        <v>0</v>
      </c>
      <c r="J209">
        <v>0</v>
      </c>
      <c r="K209">
        <v>0</v>
      </c>
      <c r="L209">
        <v>8</v>
      </c>
      <c r="M209">
        <v>0</v>
      </c>
      <c r="N209">
        <v>327.21899999999999</v>
      </c>
      <c r="O209">
        <v>294.49700000000001</v>
      </c>
      <c r="P209">
        <v>0</v>
      </c>
      <c r="Q209">
        <v>0</v>
      </c>
      <c r="R209">
        <v>64.116945862700007</v>
      </c>
      <c r="S209">
        <v>64.116945862700007</v>
      </c>
      <c r="T209">
        <v>266.7</v>
      </c>
      <c r="U209">
        <f t="shared" si="10"/>
        <v>2707.4943110813997</v>
      </c>
    </row>
    <row r="210" spans="1:21" x14ac:dyDescent="0.25">
      <c r="A210" t="s">
        <v>56</v>
      </c>
      <c r="B210" t="str">
        <f t="shared" si="11"/>
        <v>60162694</v>
      </c>
      <c r="C210" t="s">
        <v>127</v>
      </c>
      <c r="D210" t="s">
        <v>398</v>
      </c>
      <c r="E210" t="s">
        <v>399</v>
      </c>
      <c r="F210">
        <v>637</v>
      </c>
      <c r="G210">
        <v>5739.2520890817004</v>
      </c>
      <c r="H210">
        <v>4268.8961194238</v>
      </c>
      <c r="I210">
        <v>0</v>
      </c>
      <c r="J210">
        <v>0</v>
      </c>
      <c r="K210">
        <v>0</v>
      </c>
      <c r="L210">
        <v>8</v>
      </c>
      <c r="M210">
        <v>0</v>
      </c>
      <c r="N210">
        <v>966.48299999999995</v>
      </c>
      <c r="O210">
        <v>869.83500000000004</v>
      </c>
      <c r="P210">
        <v>0</v>
      </c>
      <c r="Q210">
        <v>0</v>
      </c>
      <c r="R210">
        <v>107.7996341675</v>
      </c>
      <c r="S210">
        <v>107.7996341675</v>
      </c>
      <c r="T210">
        <v>1563.55</v>
      </c>
      <c r="U210">
        <f t="shared" si="10"/>
        <v>6810.0807535913</v>
      </c>
    </row>
    <row r="211" spans="1:21" x14ac:dyDescent="0.25">
      <c r="A211" t="s">
        <v>56</v>
      </c>
      <c r="B211" t="str">
        <f t="shared" si="11"/>
        <v>60162694</v>
      </c>
      <c r="C211" t="s">
        <v>127</v>
      </c>
      <c r="D211" t="s">
        <v>400</v>
      </c>
      <c r="E211" t="s">
        <v>401</v>
      </c>
      <c r="F211">
        <v>509</v>
      </c>
      <c r="G211">
        <v>6467.1128280833</v>
      </c>
      <c r="H211">
        <v>6251.0698454885996</v>
      </c>
      <c r="I211">
        <v>0</v>
      </c>
      <c r="J211">
        <v>0</v>
      </c>
      <c r="K211">
        <v>0</v>
      </c>
      <c r="L211">
        <v>8</v>
      </c>
      <c r="M211">
        <v>0</v>
      </c>
      <c r="N211">
        <v>1018</v>
      </c>
      <c r="O211">
        <v>916.2</v>
      </c>
      <c r="P211">
        <v>0</v>
      </c>
      <c r="Q211">
        <v>0</v>
      </c>
      <c r="R211">
        <v>199.32326668300001</v>
      </c>
      <c r="S211">
        <v>199.32326668300001</v>
      </c>
      <c r="T211">
        <v>358.36599999999999</v>
      </c>
      <c r="U211">
        <f t="shared" si="10"/>
        <v>7724.9591121715994</v>
      </c>
    </row>
    <row r="212" spans="1:21" x14ac:dyDescent="0.25">
      <c r="A212" t="s">
        <v>56</v>
      </c>
      <c r="B212" t="str">
        <f t="shared" si="11"/>
        <v>60162694</v>
      </c>
      <c r="C212" t="s">
        <v>127</v>
      </c>
      <c r="D212" t="s">
        <v>402</v>
      </c>
      <c r="E212" t="s">
        <v>403</v>
      </c>
      <c r="F212">
        <v>34</v>
      </c>
      <c r="G212">
        <v>515.48070065079003</v>
      </c>
      <c r="H212">
        <v>511.43769461654</v>
      </c>
      <c r="I212">
        <v>0</v>
      </c>
      <c r="J212">
        <v>0</v>
      </c>
      <c r="K212">
        <v>0</v>
      </c>
      <c r="L212">
        <v>8</v>
      </c>
      <c r="M212">
        <v>0</v>
      </c>
      <c r="N212">
        <v>24.247800000000002</v>
      </c>
      <c r="O212">
        <v>21.823</v>
      </c>
      <c r="P212">
        <v>0</v>
      </c>
      <c r="R212">
        <v>0</v>
      </c>
      <c r="S212">
        <v>0</v>
      </c>
      <c r="T212">
        <v>40.590000000000003</v>
      </c>
      <c r="U212">
        <f t="shared" si="10"/>
        <v>573.85069461654007</v>
      </c>
    </row>
    <row r="213" spans="1:21" x14ac:dyDescent="0.25">
      <c r="A213" t="s">
        <v>36</v>
      </c>
      <c r="B213" t="str">
        <f>"00007064"</f>
        <v>00007064</v>
      </c>
      <c r="C213" t="s">
        <v>128</v>
      </c>
      <c r="D213" t="s">
        <v>404</v>
      </c>
      <c r="E213" t="s">
        <v>405</v>
      </c>
      <c r="F213">
        <v>27</v>
      </c>
      <c r="G213">
        <v>464.20752200904002</v>
      </c>
      <c r="H213">
        <v>416.00670918086001</v>
      </c>
      <c r="I213">
        <v>0</v>
      </c>
      <c r="J213">
        <v>0</v>
      </c>
      <c r="K213">
        <v>0</v>
      </c>
      <c r="L213">
        <v>3</v>
      </c>
      <c r="M213">
        <v>0</v>
      </c>
      <c r="N213">
        <v>165.11600000000001</v>
      </c>
      <c r="O213">
        <v>148.60400000000001</v>
      </c>
      <c r="P213">
        <v>0</v>
      </c>
      <c r="Q213">
        <v>0</v>
      </c>
      <c r="R213">
        <v>196.6351012488</v>
      </c>
      <c r="S213">
        <v>196.6351012488</v>
      </c>
      <c r="T213">
        <v>1386.77</v>
      </c>
      <c r="U213">
        <f t="shared" si="10"/>
        <v>2148.0158104296597</v>
      </c>
    </row>
    <row r="214" spans="1:21" x14ac:dyDescent="0.25">
      <c r="A214" t="s">
        <v>36</v>
      </c>
      <c r="B214" t="str">
        <f>"00007064"</f>
        <v>00007064</v>
      </c>
      <c r="C214" t="s">
        <v>128</v>
      </c>
      <c r="D214" t="s">
        <v>406</v>
      </c>
      <c r="E214" t="s">
        <v>407</v>
      </c>
      <c r="F214">
        <v>4</v>
      </c>
      <c r="G214">
        <v>15.848277601454001</v>
      </c>
      <c r="H214">
        <v>17.619133351161999</v>
      </c>
      <c r="I214">
        <v>0</v>
      </c>
      <c r="J214">
        <v>0</v>
      </c>
      <c r="K214">
        <v>0</v>
      </c>
      <c r="L214">
        <v>3</v>
      </c>
      <c r="M214">
        <v>0</v>
      </c>
      <c r="N214">
        <v>80.162999999999997</v>
      </c>
      <c r="O214">
        <v>72.146699999999996</v>
      </c>
      <c r="P214">
        <v>0</v>
      </c>
      <c r="Q214">
        <v>0</v>
      </c>
      <c r="R214">
        <v>19.405194227700001</v>
      </c>
      <c r="S214">
        <v>19.405194227700001</v>
      </c>
      <c r="T214">
        <v>816.97799999999995</v>
      </c>
      <c r="U214">
        <f t="shared" si="10"/>
        <v>926.14902757886193</v>
      </c>
    </row>
    <row r="215" spans="1:21" x14ac:dyDescent="0.25">
      <c r="A215" t="s">
        <v>36</v>
      </c>
      <c r="B215" t="str">
        <f>"00007064"</f>
        <v>00007064</v>
      </c>
      <c r="C215" t="s">
        <v>128</v>
      </c>
      <c r="D215" t="s">
        <v>408</v>
      </c>
      <c r="E215" t="s">
        <v>409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30.283863718999999</v>
      </c>
      <c r="S215">
        <v>30.283863718999999</v>
      </c>
      <c r="T215">
        <v>89.758799999999994</v>
      </c>
      <c r="U215">
        <f t="shared" si="10"/>
        <v>120.04266371899999</v>
      </c>
    </row>
    <row r="216" spans="1:21" x14ac:dyDescent="0.25">
      <c r="A216" t="s">
        <v>36</v>
      </c>
      <c r="B216" t="str">
        <f>"00007064"</f>
        <v>00007064</v>
      </c>
      <c r="C216" t="s">
        <v>128</v>
      </c>
      <c r="D216" t="s">
        <v>410</v>
      </c>
      <c r="E216" t="s">
        <v>411</v>
      </c>
      <c r="F216">
        <v>8</v>
      </c>
      <c r="G216">
        <v>128.85471332769001</v>
      </c>
      <c r="H216">
        <v>100.57574415691001</v>
      </c>
      <c r="I216">
        <v>0</v>
      </c>
      <c r="J216">
        <v>0</v>
      </c>
      <c r="K216">
        <v>0</v>
      </c>
      <c r="L216">
        <v>3</v>
      </c>
      <c r="M216">
        <v>0</v>
      </c>
      <c r="N216">
        <v>258.74799999999999</v>
      </c>
      <c r="O216">
        <v>232.87299999999999</v>
      </c>
      <c r="P216">
        <v>0</v>
      </c>
      <c r="Q216">
        <v>0</v>
      </c>
      <c r="R216">
        <v>118.6363010739</v>
      </c>
      <c r="S216">
        <v>118.6363010739</v>
      </c>
      <c r="T216">
        <v>2088.5700000000002</v>
      </c>
      <c r="U216">
        <f t="shared" si="10"/>
        <v>2540.6550452308102</v>
      </c>
    </row>
    <row r="217" spans="1:21" x14ac:dyDescent="0.25">
      <c r="A217" t="s">
        <v>101</v>
      </c>
      <c r="B217" t="str">
        <f>"00094871"</f>
        <v>00094871</v>
      </c>
      <c r="C217" t="s">
        <v>129</v>
      </c>
      <c r="F217">
        <v>51</v>
      </c>
      <c r="G217">
        <v>675.23414456958994</v>
      </c>
      <c r="H217">
        <v>544.81144119629005</v>
      </c>
      <c r="I217">
        <v>0</v>
      </c>
      <c r="J217">
        <v>0</v>
      </c>
      <c r="K217">
        <v>0</v>
      </c>
      <c r="L217">
        <v>1</v>
      </c>
      <c r="M217">
        <v>0</v>
      </c>
      <c r="N217">
        <v>87.338200000000001</v>
      </c>
      <c r="O217">
        <v>78.604399999999998</v>
      </c>
      <c r="P217">
        <v>0</v>
      </c>
      <c r="Q217">
        <v>0</v>
      </c>
      <c r="R217">
        <v>18.4811373597</v>
      </c>
      <c r="S217">
        <v>18.4811373597</v>
      </c>
      <c r="T217">
        <v>29.498200000000001</v>
      </c>
      <c r="U217">
        <f t="shared" si="10"/>
        <v>671.39517855599013</v>
      </c>
    </row>
    <row r="218" spans="1:21" x14ac:dyDescent="0.25">
      <c r="A218" t="s">
        <v>27</v>
      </c>
      <c r="B218" t="str">
        <f>"26867184"</f>
        <v>26867184</v>
      </c>
      <c r="C218" t="s">
        <v>130</v>
      </c>
      <c r="F218">
        <v>15</v>
      </c>
      <c r="G218">
        <v>185.41700666667001</v>
      </c>
      <c r="H218">
        <v>85.859096380801006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R218">
        <v>0</v>
      </c>
      <c r="S218">
        <v>0</v>
      </c>
      <c r="T218">
        <v>0</v>
      </c>
      <c r="U218">
        <f t="shared" si="10"/>
        <v>85.859096380801006</v>
      </c>
    </row>
    <row r="219" spans="1:21" x14ac:dyDescent="0.25">
      <c r="A219" t="s">
        <v>101</v>
      </c>
      <c r="B219" t="str">
        <f>"00094943"</f>
        <v>00094943</v>
      </c>
      <c r="C219" t="s">
        <v>131</v>
      </c>
      <c r="F219">
        <v>46</v>
      </c>
      <c r="G219">
        <v>866.77262573538997</v>
      </c>
      <c r="H219">
        <v>715.66341712485996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150.916</v>
      </c>
      <c r="O219">
        <v>135.82400000000001</v>
      </c>
      <c r="P219">
        <v>0</v>
      </c>
      <c r="Q219">
        <v>0</v>
      </c>
      <c r="R219">
        <v>136.1723802731</v>
      </c>
      <c r="S219">
        <v>136.1723802731</v>
      </c>
      <c r="T219">
        <v>649.05700000000002</v>
      </c>
      <c r="U219">
        <f t="shared" si="10"/>
        <v>1636.7167973979599</v>
      </c>
    </row>
    <row r="220" spans="1:21" x14ac:dyDescent="0.25">
      <c r="A220" t="s">
        <v>101</v>
      </c>
      <c r="B220" t="str">
        <f>"00094862"</f>
        <v>00094862</v>
      </c>
      <c r="C220" t="s">
        <v>132</v>
      </c>
      <c r="F220">
        <v>419</v>
      </c>
      <c r="G220">
        <v>3903.5369907833001</v>
      </c>
      <c r="H220">
        <v>3231.5006598251998</v>
      </c>
      <c r="I220">
        <v>0</v>
      </c>
      <c r="J220">
        <v>0</v>
      </c>
      <c r="K220">
        <v>0</v>
      </c>
      <c r="L220">
        <v>1.6</v>
      </c>
      <c r="M220">
        <v>0</v>
      </c>
      <c r="N220">
        <v>319.84899999999999</v>
      </c>
      <c r="O220">
        <v>287.86399999999998</v>
      </c>
      <c r="P220">
        <v>0</v>
      </c>
      <c r="Q220">
        <v>0</v>
      </c>
      <c r="R220">
        <v>10.2696320101</v>
      </c>
      <c r="S220">
        <v>10.2696320101</v>
      </c>
      <c r="T220">
        <v>22.227399999999999</v>
      </c>
      <c r="U220">
        <f t="shared" si="10"/>
        <v>3551.8616918353</v>
      </c>
    </row>
    <row r="221" spans="1:21" x14ac:dyDescent="0.25">
      <c r="A221" t="s">
        <v>101</v>
      </c>
      <c r="B221" t="str">
        <f>"00092142"</f>
        <v>00092142</v>
      </c>
      <c r="C221" t="s">
        <v>133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R221">
        <v>0</v>
      </c>
      <c r="S221">
        <v>0</v>
      </c>
      <c r="T221">
        <v>0</v>
      </c>
      <c r="U221">
        <f t="shared" si="10"/>
        <v>0</v>
      </c>
    </row>
    <row r="222" spans="1:21" x14ac:dyDescent="0.25">
      <c r="A222" t="s">
        <v>134</v>
      </c>
      <c r="B222" t="str">
        <f>"00098574"</f>
        <v>00098574</v>
      </c>
      <c r="C222" t="s">
        <v>135</v>
      </c>
      <c r="F222">
        <v>5</v>
      </c>
      <c r="G222">
        <v>10.668159390863</v>
      </c>
      <c r="H222">
        <v>7.5790189936018004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R222">
        <v>0</v>
      </c>
      <c r="S222">
        <v>0</v>
      </c>
      <c r="T222">
        <v>0</v>
      </c>
      <c r="U222">
        <f t="shared" si="10"/>
        <v>7.5790189936018004</v>
      </c>
    </row>
    <row r="223" spans="1:21" x14ac:dyDescent="0.25">
      <c r="A223" t="s">
        <v>101</v>
      </c>
      <c r="B223" t="str">
        <f>"00079481"</f>
        <v>00079481</v>
      </c>
      <c r="C223" t="s">
        <v>136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R223">
        <v>0</v>
      </c>
      <c r="S223">
        <v>0</v>
      </c>
      <c r="T223">
        <v>0</v>
      </c>
      <c r="U223">
        <f t="shared" si="10"/>
        <v>0</v>
      </c>
    </row>
    <row r="224" spans="1:21" x14ac:dyDescent="0.25">
      <c r="A224" t="s">
        <v>101</v>
      </c>
      <c r="B224" t="str">
        <f>"75079950"</f>
        <v>75079950</v>
      </c>
      <c r="C224" t="s">
        <v>137</v>
      </c>
      <c r="F224">
        <v>2</v>
      </c>
      <c r="G224">
        <v>8</v>
      </c>
      <c r="H224">
        <v>4.8025875592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R224">
        <v>0</v>
      </c>
      <c r="S224">
        <v>0</v>
      </c>
      <c r="T224">
        <v>0</v>
      </c>
      <c r="U224">
        <f t="shared" si="10"/>
        <v>4.8025875592</v>
      </c>
    </row>
    <row r="225" spans="1:21" x14ac:dyDescent="0.25">
      <c r="A225" t="s">
        <v>138</v>
      </c>
      <c r="B225" t="str">
        <f>"00088382"</f>
        <v>00088382</v>
      </c>
      <c r="C225" t="s">
        <v>139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2.2734000000000001</v>
      </c>
      <c r="O225">
        <v>2.0460600000000002</v>
      </c>
      <c r="P225">
        <v>0</v>
      </c>
      <c r="R225">
        <v>0</v>
      </c>
      <c r="S225">
        <v>0</v>
      </c>
      <c r="T225">
        <v>0</v>
      </c>
      <c r="U225">
        <f t="shared" si="10"/>
        <v>2.0460600000000002</v>
      </c>
    </row>
    <row r="226" spans="1:21" x14ac:dyDescent="0.25">
      <c r="A226" t="s">
        <v>140</v>
      </c>
      <c r="B226" t="str">
        <f>"00090735"</f>
        <v>00090735</v>
      </c>
      <c r="C226" t="s">
        <v>141</v>
      </c>
      <c r="F226">
        <v>2</v>
      </c>
      <c r="G226">
        <v>40</v>
      </c>
      <c r="H226">
        <v>45.057998657227003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8.3952000000000009</v>
      </c>
      <c r="O226">
        <v>7.5556799999999997</v>
      </c>
      <c r="P226">
        <v>0</v>
      </c>
      <c r="Q226">
        <v>0</v>
      </c>
      <c r="R226">
        <v>14.5748969632</v>
      </c>
      <c r="S226">
        <v>14.5748969632</v>
      </c>
      <c r="T226">
        <v>30.170999999999999</v>
      </c>
      <c r="U226">
        <f t="shared" si="10"/>
        <v>97.359575620426995</v>
      </c>
    </row>
    <row r="227" spans="1:21" x14ac:dyDescent="0.25">
      <c r="A227" t="s">
        <v>36</v>
      </c>
      <c r="B227" t="str">
        <f>"70979821"</f>
        <v>70979821</v>
      </c>
      <c r="C227" t="s">
        <v>142</v>
      </c>
      <c r="F227">
        <v>166</v>
      </c>
      <c r="G227">
        <v>1324.1557907199999</v>
      </c>
      <c r="H227">
        <v>1027.8938287956</v>
      </c>
      <c r="I227">
        <v>0</v>
      </c>
      <c r="J227">
        <v>0</v>
      </c>
      <c r="K227">
        <v>0</v>
      </c>
      <c r="L227">
        <v>1</v>
      </c>
      <c r="M227">
        <v>0</v>
      </c>
      <c r="N227">
        <v>251.66800000000001</v>
      </c>
      <c r="O227">
        <v>226.501</v>
      </c>
      <c r="P227">
        <v>0</v>
      </c>
      <c r="Q227">
        <v>0</v>
      </c>
      <c r="R227">
        <v>29.317804266100001</v>
      </c>
      <c r="S227">
        <v>29.317804266100001</v>
      </c>
      <c r="T227">
        <v>287.30200000000002</v>
      </c>
      <c r="U227">
        <f t="shared" si="10"/>
        <v>1571.0146330616999</v>
      </c>
    </row>
    <row r="228" spans="1:21" x14ac:dyDescent="0.25">
      <c r="A228" t="s">
        <v>101</v>
      </c>
      <c r="B228" t="str">
        <f>"00057266"</f>
        <v>00057266</v>
      </c>
      <c r="C228" t="s">
        <v>143</v>
      </c>
      <c r="F228">
        <v>6</v>
      </c>
      <c r="G228">
        <v>81.161583333332999</v>
      </c>
      <c r="H228">
        <v>83.38739131765</v>
      </c>
      <c r="I228">
        <v>0</v>
      </c>
      <c r="J228">
        <v>0</v>
      </c>
      <c r="K228">
        <v>0</v>
      </c>
      <c r="L228">
        <v>1</v>
      </c>
      <c r="M228">
        <v>0</v>
      </c>
      <c r="N228">
        <v>9.0306899999999999</v>
      </c>
      <c r="O228">
        <v>8.1276200000000003</v>
      </c>
      <c r="P228">
        <v>0</v>
      </c>
      <c r="R228">
        <v>0</v>
      </c>
      <c r="S228">
        <v>0</v>
      </c>
      <c r="T228">
        <v>63.275599999999997</v>
      </c>
      <c r="U228">
        <f t="shared" si="10"/>
        <v>154.79061131764999</v>
      </c>
    </row>
    <row r="229" spans="1:21" x14ac:dyDescent="0.25">
      <c r="A229" t="s">
        <v>101</v>
      </c>
      <c r="B229" t="str">
        <f>"00023281"</f>
        <v>00023281</v>
      </c>
      <c r="C229" t="s">
        <v>144</v>
      </c>
      <c r="F229">
        <v>201</v>
      </c>
      <c r="G229">
        <v>2550.3877921069002</v>
      </c>
      <c r="H229">
        <v>2172.7780079034001</v>
      </c>
      <c r="I229">
        <v>0</v>
      </c>
      <c r="J229">
        <v>0</v>
      </c>
      <c r="K229">
        <v>0</v>
      </c>
      <c r="L229">
        <v>1</v>
      </c>
      <c r="M229">
        <v>0.5</v>
      </c>
      <c r="N229">
        <v>204.39699999999999</v>
      </c>
      <c r="O229">
        <v>228.87200000000001</v>
      </c>
      <c r="P229">
        <v>0</v>
      </c>
      <c r="Q229">
        <v>0</v>
      </c>
      <c r="R229">
        <v>263.39820996079999</v>
      </c>
      <c r="S229">
        <v>263.39820996079999</v>
      </c>
      <c r="T229">
        <v>372.15300000000002</v>
      </c>
      <c r="U229">
        <f t="shared" si="10"/>
        <v>3037.2012178641999</v>
      </c>
    </row>
    <row r="230" spans="1:21" x14ac:dyDescent="0.25">
      <c r="A230" t="s">
        <v>101</v>
      </c>
      <c r="B230" t="str">
        <f>"14450551"</f>
        <v>14450551</v>
      </c>
      <c r="C230" t="s">
        <v>145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0.99711000000000005</v>
      </c>
      <c r="O230">
        <v>0.89739899999999995</v>
      </c>
      <c r="P230">
        <v>0</v>
      </c>
      <c r="R230">
        <v>0</v>
      </c>
      <c r="S230">
        <v>0</v>
      </c>
      <c r="T230">
        <v>0</v>
      </c>
      <c r="U230">
        <f t="shared" si="10"/>
        <v>0.89739899999999995</v>
      </c>
    </row>
    <row r="231" spans="1:21" x14ac:dyDescent="0.25">
      <c r="A231" t="s">
        <v>101</v>
      </c>
      <c r="B231" t="str">
        <f>"00023221"</f>
        <v>00023221</v>
      </c>
      <c r="C231" t="s">
        <v>146</v>
      </c>
      <c r="F231">
        <v>49</v>
      </c>
      <c r="G231">
        <v>550.11358439472997</v>
      </c>
      <c r="H231">
        <v>392.74091431399</v>
      </c>
      <c r="I231">
        <v>0</v>
      </c>
      <c r="J231">
        <v>0</v>
      </c>
      <c r="K231">
        <v>0</v>
      </c>
      <c r="L231">
        <v>1</v>
      </c>
      <c r="M231">
        <v>0</v>
      </c>
      <c r="N231">
        <v>127.464</v>
      </c>
      <c r="O231">
        <v>114.718</v>
      </c>
      <c r="P231">
        <v>0</v>
      </c>
      <c r="Q231">
        <v>0</v>
      </c>
      <c r="R231">
        <v>402.6367789322</v>
      </c>
      <c r="S231">
        <v>402.6367789322</v>
      </c>
      <c r="T231">
        <v>1615.86</v>
      </c>
      <c r="U231">
        <f t="shared" si="10"/>
        <v>2525.9556932461901</v>
      </c>
    </row>
    <row r="232" spans="1:21" x14ac:dyDescent="0.25">
      <c r="A232" t="s">
        <v>65</v>
      </c>
      <c r="B232" t="str">
        <f>"00023825"</f>
        <v>00023825</v>
      </c>
      <c r="C232" t="s">
        <v>147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2.7005400000000002</v>
      </c>
      <c r="O232">
        <v>2.4304899999999998</v>
      </c>
      <c r="P232">
        <v>0</v>
      </c>
      <c r="R232">
        <v>0</v>
      </c>
      <c r="S232">
        <v>0</v>
      </c>
      <c r="T232">
        <v>36.017000000000003</v>
      </c>
      <c r="U232">
        <f t="shared" si="10"/>
        <v>38.447490000000002</v>
      </c>
    </row>
    <row r="233" spans="1:21" x14ac:dyDescent="0.25">
      <c r="A233" t="s">
        <v>101</v>
      </c>
      <c r="B233" t="str">
        <f>"00023272"</f>
        <v>00023272</v>
      </c>
      <c r="C233" t="s">
        <v>148</v>
      </c>
      <c r="F233">
        <v>902</v>
      </c>
      <c r="G233">
        <v>11645.796449453001</v>
      </c>
      <c r="H233">
        <v>10065.890477626999</v>
      </c>
      <c r="I233">
        <v>0</v>
      </c>
      <c r="J233">
        <v>0</v>
      </c>
      <c r="K233">
        <v>0</v>
      </c>
      <c r="L233">
        <v>3</v>
      </c>
      <c r="M233">
        <v>0.25</v>
      </c>
      <c r="N233">
        <v>993.51</v>
      </c>
      <c r="O233">
        <v>930.54499999999996</v>
      </c>
      <c r="P233">
        <v>0</v>
      </c>
      <c r="Q233">
        <v>0</v>
      </c>
      <c r="R233">
        <v>301.26354025569998</v>
      </c>
      <c r="S233">
        <v>301.26354025569998</v>
      </c>
      <c r="T233">
        <v>942.5</v>
      </c>
      <c r="U233">
        <f t="shared" si="10"/>
        <v>12240.1990178827</v>
      </c>
    </row>
    <row r="234" spans="1:21" x14ac:dyDescent="0.25">
      <c r="A234" t="s">
        <v>101</v>
      </c>
      <c r="B234" t="str">
        <f>"75032333"</f>
        <v>75032333</v>
      </c>
      <c r="C234" t="s">
        <v>149</v>
      </c>
      <c r="F234">
        <v>570</v>
      </c>
      <c r="G234">
        <v>6264.9818020637003</v>
      </c>
      <c r="H234">
        <v>4979.6711182095996</v>
      </c>
      <c r="I234">
        <v>0</v>
      </c>
      <c r="J234">
        <v>0</v>
      </c>
      <c r="K234">
        <v>0</v>
      </c>
      <c r="L234">
        <v>2</v>
      </c>
      <c r="M234">
        <v>0</v>
      </c>
      <c r="N234">
        <v>525.28300000000002</v>
      </c>
      <c r="O234">
        <v>472.755</v>
      </c>
      <c r="P234">
        <v>0</v>
      </c>
      <c r="Q234">
        <v>0</v>
      </c>
      <c r="R234">
        <v>706.48347815980003</v>
      </c>
      <c r="S234">
        <v>706.48347815980003</v>
      </c>
      <c r="T234">
        <v>2453.08</v>
      </c>
      <c r="U234">
        <f t="shared" si="10"/>
        <v>8611.9895963693998</v>
      </c>
    </row>
    <row r="235" spans="1:21" x14ac:dyDescent="0.25">
      <c r="A235" t="s">
        <v>27</v>
      </c>
      <c r="B235" t="str">
        <f>"61387169"</f>
        <v>61387169</v>
      </c>
      <c r="C235" t="s">
        <v>150</v>
      </c>
      <c r="F235">
        <v>7</v>
      </c>
      <c r="G235">
        <v>2.4264368309217001</v>
      </c>
      <c r="H235">
        <v>1.4831386882494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R235">
        <v>0</v>
      </c>
      <c r="S235">
        <v>0</v>
      </c>
      <c r="T235">
        <v>0</v>
      </c>
      <c r="U235">
        <f t="shared" si="10"/>
        <v>1.4831386882494</v>
      </c>
    </row>
    <row r="236" spans="1:21" x14ac:dyDescent="0.25">
      <c r="A236" t="s">
        <v>27</v>
      </c>
      <c r="B236" t="str">
        <f>"61387142"</f>
        <v>61387142</v>
      </c>
      <c r="C236" t="s">
        <v>151</v>
      </c>
      <c r="F236">
        <v>4</v>
      </c>
      <c r="G236">
        <v>26.666000366211001</v>
      </c>
      <c r="H236">
        <v>19.458000659943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7.3280700000000003</v>
      </c>
      <c r="O236">
        <v>6.5952599999999997</v>
      </c>
      <c r="P236">
        <v>0</v>
      </c>
      <c r="R236">
        <v>0</v>
      </c>
      <c r="S236">
        <v>0</v>
      </c>
      <c r="T236">
        <v>0</v>
      </c>
      <c r="U236">
        <f t="shared" si="10"/>
        <v>26.053260659943</v>
      </c>
    </row>
    <row r="237" spans="1:21" x14ac:dyDescent="0.25">
      <c r="A237" t="s">
        <v>101</v>
      </c>
      <c r="B237" t="str">
        <f>"00023299"</f>
        <v>00023299</v>
      </c>
      <c r="C237" t="s">
        <v>152</v>
      </c>
      <c r="F237">
        <v>176</v>
      </c>
      <c r="G237">
        <v>1301.9453457702</v>
      </c>
      <c r="H237">
        <v>996.27276714285995</v>
      </c>
      <c r="I237">
        <v>0</v>
      </c>
      <c r="J237">
        <v>0</v>
      </c>
      <c r="K237">
        <v>0</v>
      </c>
      <c r="L237">
        <v>1</v>
      </c>
      <c r="M237">
        <v>0</v>
      </c>
      <c r="N237">
        <v>84.365499999999997</v>
      </c>
      <c r="O237">
        <v>75.928899999999999</v>
      </c>
      <c r="P237">
        <v>0</v>
      </c>
      <c r="Q237">
        <v>0</v>
      </c>
      <c r="R237">
        <v>108.1566561392</v>
      </c>
      <c r="S237">
        <v>108.1566561392</v>
      </c>
      <c r="T237">
        <v>419.49900000000002</v>
      </c>
      <c r="U237">
        <f t="shared" si="10"/>
        <v>1599.8573232820602</v>
      </c>
    </row>
    <row r="238" spans="1:21" x14ac:dyDescent="0.25">
      <c r="A238" t="s">
        <v>65</v>
      </c>
      <c r="B238" t="str">
        <f>"00023752"</f>
        <v>00023752</v>
      </c>
      <c r="C238" t="s">
        <v>153</v>
      </c>
      <c r="F238">
        <v>283</v>
      </c>
      <c r="G238">
        <v>3481.6124036995998</v>
      </c>
      <c r="H238">
        <v>2888.6296168168001</v>
      </c>
      <c r="I238">
        <v>0</v>
      </c>
      <c r="J238">
        <v>0</v>
      </c>
      <c r="K238">
        <v>0</v>
      </c>
      <c r="L238">
        <v>1.85</v>
      </c>
      <c r="M238">
        <v>0.9</v>
      </c>
      <c r="N238">
        <v>491.30200000000002</v>
      </c>
      <c r="O238">
        <v>547.21400000000006</v>
      </c>
      <c r="P238">
        <v>0</v>
      </c>
      <c r="Q238">
        <v>0</v>
      </c>
      <c r="R238">
        <v>611.05360524790001</v>
      </c>
      <c r="S238">
        <v>611.05360524790001</v>
      </c>
      <c r="T238">
        <v>1682.22</v>
      </c>
      <c r="U238">
        <f t="shared" si="10"/>
        <v>5729.1172220647004</v>
      </c>
    </row>
    <row r="239" spans="1:21" x14ac:dyDescent="0.25">
      <c r="A239" t="s">
        <v>101</v>
      </c>
      <c r="B239" t="str">
        <f>"00094927"</f>
        <v>00094927</v>
      </c>
      <c r="C239" t="s">
        <v>154</v>
      </c>
      <c r="F239">
        <v>66</v>
      </c>
      <c r="G239">
        <v>1177.5521692868999</v>
      </c>
      <c r="H239">
        <v>991.27008617409001</v>
      </c>
      <c r="I239">
        <v>0</v>
      </c>
      <c r="J239">
        <v>0</v>
      </c>
      <c r="K239">
        <v>0</v>
      </c>
      <c r="L239">
        <v>1</v>
      </c>
      <c r="M239">
        <v>0</v>
      </c>
      <c r="N239">
        <v>74.451999999999998</v>
      </c>
      <c r="O239">
        <v>67.006799999999998</v>
      </c>
      <c r="P239">
        <v>0</v>
      </c>
      <c r="Q239">
        <v>0</v>
      </c>
      <c r="R239">
        <v>65.965059598699995</v>
      </c>
      <c r="S239">
        <v>65.965059598699995</v>
      </c>
      <c r="T239">
        <v>346.83199999999999</v>
      </c>
      <c r="U239">
        <f t="shared" si="10"/>
        <v>1471.07394577279</v>
      </c>
    </row>
    <row r="240" spans="1:21" x14ac:dyDescent="0.25">
      <c r="A240" t="s">
        <v>29</v>
      </c>
      <c r="B240" t="str">
        <f>"75075741"</f>
        <v>75075741</v>
      </c>
      <c r="C240" t="s">
        <v>155</v>
      </c>
      <c r="F240">
        <v>97</v>
      </c>
      <c r="G240">
        <v>929.69481804892996</v>
      </c>
      <c r="H240">
        <v>794.51064021793002</v>
      </c>
      <c r="I240">
        <v>0</v>
      </c>
      <c r="J240">
        <v>0</v>
      </c>
      <c r="K240">
        <v>0</v>
      </c>
      <c r="L240">
        <v>1</v>
      </c>
      <c r="M240">
        <v>0</v>
      </c>
      <c r="N240">
        <v>85.420199999999994</v>
      </c>
      <c r="O240">
        <v>76.878200000000007</v>
      </c>
      <c r="P240">
        <v>0</v>
      </c>
      <c r="Q240">
        <v>0</v>
      </c>
      <c r="R240">
        <v>65.923057013800005</v>
      </c>
      <c r="S240">
        <v>65.923057013800005</v>
      </c>
      <c r="T240">
        <v>150.39699999999999</v>
      </c>
      <c r="U240">
        <f t="shared" si="10"/>
        <v>1087.7088972317299</v>
      </c>
    </row>
    <row r="241" spans="1:21" x14ac:dyDescent="0.25">
      <c r="A241" t="s">
        <v>42</v>
      </c>
      <c r="B241" t="str">
        <f>"67985998"</f>
        <v>67985998</v>
      </c>
      <c r="C241" t="s">
        <v>156</v>
      </c>
      <c r="F241">
        <v>150</v>
      </c>
      <c r="G241">
        <v>3061.6333269856</v>
      </c>
      <c r="H241">
        <v>2527.9996530331</v>
      </c>
      <c r="I241">
        <v>0</v>
      </c>
      <c r="J241">
        <v>0</v>
      </c>
      <c r="K241">
        <v>0</v>
      </c>
      <c r="L241">
        <v>3.05</v>
      </c>
      <c r="M241">
        <v>0.5</v>
      </c>
      <c r="N241">
        <v>863.03700000000003</v>
      </c>
      <c r="O241">
        <v>838.91200000000003</v>
      </c>
      <c r="P241">
        <v>0</v>
      </c>
      <c r="Q241">
        <v>0</v>
      </c>
      <c r="R241">
        <v>82.367069005399998</v>
      </c>
      <c r="S241">
        <v>82.367069005399998</v>
      </c>
      <c r="T241">
        <v>294.97399999999999</v>
      </c>
      <c r="U241">
        <f t="shared" si="10"/>
        <v>3744.2527220385005</v>
      </c>
    </row>
    <row r="242" spans="1:21" x14ac:dyDescent="0.25">
      <c r="A242" t="s">
        <v>65</v>
      </c>
      <c r="B242" t="str">
        <f>"00064211"</f>
        <v>00064211</v>
      </c>
      <c r="C242" t="s">
        <v>157</v>
      </c>
      <c r="F242">
        <v>170</v>
      </c>
      <c r="G242">
        <v>1556.3062668811001</v>
      </c>
      <c r="H242">
        <v>1354.1794827934</v>
      </c>
      <c r="I242">
        <v>0</v>
      </c>
      <c r="J242">
        <v>0</v>
      </c>
      <c r="K242">
        <v>0</v>
      </c>
      <c r="L242">
        <v>1</v>
      </c>
      <c r="M242">
        <v>0</v>
      </c>
      <c r="N242">
        <v>130.494</v>
      </c>
      <c r="O242">
        <v>117.44499999999999</v>
      </c>
      <c r="P242">
        <v>0</v>
      </c>
      <c r="Q242">
        <v>0</v>
      </c>
      <c r="R242">
        <v>131.6361011031</v>
      </c>
      <c r="S242">
        <v>131.6361011031</v>
      </c>
      <c r="T242">
        <v>390.61500000000001</v>
      </c>
      <c r="U242">
        <f t="shared" si="10"/>
        <v>1993.8755838964998</v>
      </c>
    </row>
    <row r="243" spans="1:21" x14ac:dyDescent="0.25">
      <c r="A243" t="s">
        <v>65</v>
      </c>
      <c r="B243" t="str">
        <f>"00023884"</f>
        <v>00023884</v>
      </c>
      <c r="C243" t="s">
        <v>158</v>
      </c>
      <c r="F243">
        <v>218</v>
      </c>
      <c r="G243">
        <v>4024.5437075271002</v>
      </c>
      <c r="H243">
        <v>3459.1429608469998</v>
      </c>
      <c r="I243">
        <v>0</v>
      </c>
      <c r="J243">
        <v>0</v>
      </c>
      <c r="K243">
        <v>0</v>
      </c>
      <c r="L243">
        <v>2</v>
      </c>
      <c r="M243">
        <v>0.86</v>
      </c>
      <c r="N243">
        <v>411.75799999999998</v>
      </c>
      <c r="O243">
        <v>448.39600000000002</v>
      </c>
      <c r="P243">
        <v>0</v>
      </c>
      <c r="Q243">
        <v>0</v>
      </c>
      <c r="R243">
        <v>100.8692076576</v>
      </c>
      <c r="S243">
        <v>100.8692076576</v>
      </c>
      <c r="T243">
        <v>323.00400000000002</v>
      </c>
      <c r="U243">
        <f t="shared" si="10"/>
        <v>4331.4121685046002</v>
      </c>
    </row>
    <row r="244" spans="1:21" x14ac:dyDescent="0.25">
      <c r="A244" t="s">
        <v>27</v>
      </c>
      <c r="B244" t="str">
        <f>"27081869"</f>
        <v>27081869</v>
      </c>
      <c r="C244" t="s">
        <v>159</v>
      </c>
      <c r="F244">
        <v>19</v>
      </c>
      <c r="G244">
        <v>52.671899974727999</v>
      </c>
      <c r="H244">
        <v>42.435712518999999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3.1436999999999999</v>
      </c>
      <c r="O244">
        <v>2.8293300000000001</v>
      </c>
      <c r="P244">
        <v>0</v>
      </c>
      <c r="R244">
        <v>0</v>
      </c>
      <c r="S244">
        <v>0</v>
      </c>
      <c r="T244">
        <v>0</v>
      </c>
      <c r="U244">
        <f t="shared" si="10"/>
        <v>45.265042518999998</v>
      </c>
    </row>
    <row r="245" spans="1:21" x14ac:dyDescent="0.25">
      <c r="A245" t="s">
        <v>42</v>
      </c>
      <c r="B245" t="str">
        <f>"68378009"</f>
        <v>68378009</v>
      </c>
      <c r="C245" t="s">
        <v>160</v>
      </c>
      <c r="F245">
        <v>94</v>
      </c>
      <c r="G245">
        <v>1233.3470975273999</v>
      </c>
      <c r="H245">
        <v>1050.952242326</v>
      </c>
      <c r="I245">
        <v>0</v>
      </c>
      <c r="J245">
        <v>0</v>
      </c>
      <c r="K245">
        <v>0</v>
      </c>
      <c r="L245">
        <v>2</v>
      </c>
      <c r="M245">
        <v>1</v>
      </c>
      <c r="N245">
        <v>184.45</v>
      </c>
      <c r="O245">
        <v>206.53700000000001</v>
      </c>
      <c r="P245">
        <v>0</v>
      </c>
      <c r="R245">
        <v>0</v>
      </c>
      <c r="S245">
        <v>0</v>
      </c>
      <c r="T245">
        <v>3.8686500000000001</v>
      </c>
      <c r="U245">
        <f t="shared" si="10"/>
        <v>1261.357892326</v>
      </c>
    </row>
    <row r="246" spans="1:21" x14ac:dyDescent="0.25">
      <c r="A246" t="s">
        <v>29</v>
      </c>
      <c r="B246" t="str">
        <f>"26791251"</f>
        <v>26791251</v>
      </c>
      <c r="C246" t="s">
        <v>161</v>
      </c>
      <c r="F246">
        <v>42</v>
      </c>
      <c r="G246">
        <v>135.75837619117999</v>
      </c>
      <c r="H246">
        <v>116.58028230642999</v>
      </c>
      <c r="I246">
        <v>0</v>
      </c>
      <c r="J246">
        <v>0</v>
      </c>
      <c r="K246">
        <v>0</v>
      </c>
      <c r="L246">
        <v>1</v>
      </c>
      <c r="M246">
        <v>0</v>
      </c>
      <c r="N246">
        <v>105.33199999999999</v>
      </c>
      <c r="O246">
        <v>94.7988</v>
      </c>
      <c r="P246">
        <v>65</v>
      </c>
      <c r="Q246">
        <v>30.714285850524998</v>
      </c>
      <c r="R246">
        <v>57.648547786800002</v>
      </c>
      <c r="S246">
        <v>88.3628336373</v>
      </c>
      <c r="T246">
        <v>719.12199999999996</v>
      </c>
      <c r="U246">
        <f t="shared" si="10"/>
        <v>1018.86391594373</v>
      </c>
    </row>
    <row r="247" spans="1:21" x14ac:dyDescent="0.25">
      <c r="A247" t="s">
        <v>27</v>
      </c>
      <c r="B247" t="str">
        <f t="shared" ref="B247:B258" si="12">"61988987"</f>
        <v>61988987</v>
      </c>
      <c r="C247" t="s">
        <v>162</v>
      </c>
      <c r="D247">
        <v>17110</v>
      </c>
      <c r="E247" t="s">
        <v>353</v>
      </c>
      <c r="F247">
        <v>402</v>
      </c>
      <c r="G247">
        <v>4144.6807666679997</v>
      </c>
      <c r="H247">
        <v>3473.4757867254002</v>
      </c>
      <c r="I247">
        <v>0</v>
      </c>
      <c r="J247">
        <v>0</v>
      </c>
      <c r="K247">
        <v>0</v>
      </c>
      <c r="L247">
        <v>8.91</v>
      </c>
      <c r="M247">
        <v>0</v>
      </c>
      <c r="N247">
        <v>272.92</v>
      </c>
      <c r="O247">
        <v>245.62799999999999</v>
      </c>
      <c r="P247">
        <v>50</v>
      </c>
      <c r="Q247">
        <v>33.333332061767997</v>
      </c>
      <c r="R247">
        <v>138.50352373550001</v>
      </c>
      <c r="S247">
        <v>171.83685579729999</v>
      </c>
      <c r="T247">
        <v>268.56400000000002</v>
      </c>
      <c r="U247">
        <f t="shared" si="10"/>
        <v>4159.5046425227001</v>
      </c>
    </row>
    <row r="248" spans="1:21" x14ac:dyDescent="0.25">
      <c r="A248" t="s">
        <v>27</v>
      </c>
      <c r="B248" t="str">
        <f t="shared" si="12"/>
        <v>61988987</v>
      </c>
      <c r="C248" t="s">
        <v>162</v>
      </c>
      <c r="D248">
        <v>17200</v>
      </c>
      <c r="E248" t="s">
        <v>355</v>
      </c>
      <c r="F248">
        <v>66</v>
      </c>
      <c r="G248">
        <v>817.15428919998999</v>
      </c>
      <c r="H248">
        <v>554.22267527839006</v>
      </c>
      <c r="I248">
        <v>0</v>
      </c>
      <c r="J248">
        <v>0</v>
      </c>
      <c r="K248">
        <v>0</v>
      </c>
      <c r="L248">
        <v>8.91</v>
      </c>
      <c r="M248">
        <v>0</v>
      </c>
      <c r="N248">
        <v>50.975999999999999</v>
      </c>
      <c r="O248">
        <v>45.878399999999999</v>
      </c>
      <c r="P248">
        <v>0</v>
      </c>
      <c r="R248">
        <v>0</v>
      </c>
      <c r="S248">
        <v>0</v>
      </c>
      <c r="T248">
        <v>0</v>
      </c>
      <c r="U248">
        <f t="shared" si="10"/>
        <v>600.10107527839</v>
      </c>
    </row>
    <row r="249" spans="1:21" x14ac:dyDescent="0.25">
      <c r="A249" t="s">
        <v>27</v>
      </c>
      <c r="B249" t="str">
        <f t="shared" si="12"/>
        <v>61988987</v>
      </c>
      <c r="C249" t="s">
        <v>162</v>
      </c>
      <c r="D249">
        <v>17250</v>
      </c>
      <c r="E249" t="s">
        <v>337</v>
      </c>
      <c r="F249">
        <v>930</v>
      </c>
      <c r="G249">
        <v>9952.5564016073004</v>
      </c>
      <c r="H249">
        <v>8286.8669804261008</v>
      </c>
      <c r="I249">
        <v>0</v>
      </c>
      <c r="J249">
        <v>0</v>
      </c>
      <c r="K249">
        <v>0</v>
      </c>
      <c r="L249">
        <v>8.91</v>
      </c>
      <c r="M249">
        <v>0</v>
      </c>
      <c r="N249">
        <v>838.98900000000003</v>
      </c>
      <c r="O249">
        <v>755.09</v>
      </c>
      <c r="P249">
        <v>0</v>
      </c>
      <c r="R249">
        <v>0</v>
      </c>
      <c r="S249">
        <v>0</v>
      </c>
      <c r="T249">
        <v>28.645700000000001</v>
      </c>
      <c r="U249">
        <f t="shared" si="10"/>
        <v>9070.6026804261001</v>
      </c>
    </row>
    <row r="250" spans="1:21" x14ac:dyDescent="0.25">
      <c r="A250" t="s">
        <v>27</v>
      </c>
      <c r="B250" t="str">
        <f t="shared" si="12"/>
        <v>61988987</v>
      </c>
      <c r="C250" t="s">
        <v>162</v>
      </c>
      <c r="D250">
        <v>17310</v>
      </c>
      <c r="E250" t="s">
        <v>340</v>
      </c>
      <c r="F250">
        <v>657</v>
      </c>
      <c r="G250">
        <v>10569.318756891</v>
      </c>
      <c r="H250">
        <v>9139.8503743475994</v>
      </c>
      <c r="I250">
        <v>0</v>
      </c>
      <c r="J250">
        <v>0</v>
      </c>
      <c r="K250">
        <v>0</v>
      </c>
      <c r="L250">
        <v>8.91</v>
      </c>
      <c r="M250">
        <v>0.75</v>
      </c>
      <c r="N250">
        <v>727.05899999999997</v>
      </c>
      <c r="O250">
        <v>769.10799999999995</v>
      </c>
      <c r="P250">
        <v>0</v>
      </c>
      <c r="Q250">
        <v>0</v>
      </c>
      <c r="R250">
        <v>16.465013284099999</v>
      </c>
      <c r="S250">
        <v>16.465013284099999</v>
      </c>
      <c r="T250">
        <v>156.00200000000001</v>
      </c>
      <c r="U250">
        <f t="shared" si="10"/>
        <v>10081.4253876317</v>
      </c>
    </row>
    <row r="251" spans="1:21" x14ac:dyDescent="0.25">
      <c r="A251" t="s">
        <v>27</v>
      </c>
      <c r="B251" t="str">
        <f t="shared" si="12"/>
        <v>61988987</v>
      </c>
      <c r="C251" t="s">
        <v>162</v>
      </c>
      <c r="D251">
        <v>17450</v>
      </c>
      <c r="E251" t="s">
        <v>341</v>
      </c>
      <c r="F251">
        <v>389</v>
      </c>
      <c r="G251">
        <v>4777.1167939335</v>
      </c>
      <c r="H251">
        <v>3781.0310375051999</v>
      </c>
      <c r="I251">
        <v>0</v>
      </c>
      <c r="J251">
        <v>0</v>
      </c>
      <c r="K251">
        <v>0</v>
      </c>
      <c r="L251">
        <v>8.91</v>
      </c>
      <c r="M251">
        <v>0</v>
      </c>
      <c r="N251">
        <v>437.29300000000001</v>
      </c>
      <c r="O251">
        <v>393.56400000000002</v>
      </c>
      <c r="P251">
        <v>0</v>
      </c>
      <c r="R251">
        <v>0</v>
      </c>
      <c r="S251">
        <v>0</v>
      </c>
      <c r="T251">
        <v>34.042499999999997</v>
      </c>
      <c r="U251">
        <f t="shared" si="10"/>
        <v>4208.6375375051994</v>
      </c>
    </row>
    <row r="252" spans="1:21" x14ac:dyDescent="0.25">
      <c r="A252" t="s">
        <v>27</v>
      </c>
      <c r="B252" t="str">
        <f t="shared" si="12"/>
        <v>61988987</v>
      </c>
      <c r="C252" t="s">
        <v>162</v>
      </c>
      <c r="D252">
        <v>17500</v>
      </c>
      <c r="E252" t="s">
        <v>412</v>
      </c>
      <c r="F252">
        <v>35</v>
      </c>
      <c r="G252">
        <v>295.17144334515001</v>
      </c>
      <c r="H252">
        <v>187.59061379782</v>
      </c>
      <c r="I252">
        <v>0</v>
      </c>
      <c r="J252">
        <v>0</v>
      </c>
      <c r="K252">
        <v>0</v>
      </c>
      <c r="L252">
        <v>8.91</v>
      </c>
      <c r="M252">
        <v>0</v>
      </c>
      <c r="N252">
        <v>35.786700000000003</v>
      </c>
      <c r="O252">
        <v>32.207999999999998</v>
      </c>
      <c r="P252">
        <v>0</v>
      </c>
      <c r="R252">
        <v>0</v>
      </c>
      <c r="S252">
        <v>0</v>
      </c>
      <c r="T252">
        <v>0</v>
      </c>
      <c r="U252">
        <f t="shared" si="10"/>
        <v>219.79861379782</v>
      </c>
    </row>
    <row r="253" spans="1:21" x14ac:dyDescent="0.25">
      <c r="A253" t="s">
        <v>27</v>
      </c>
      <c r="B253" t="str">
        <f t="shared" si="12"/>
        <v>61988987</v>
      </c>
      <c r="C253" t="s">
        <v>162</v>
      </c>
      <c r="D253">
        <v>17610</v>
      </c>
      <c r="E253" t="s">
        <v>413</v>
      </c>
      <c r="F253">
        <v>282</v>
      </c>
      <c r="G253">
        <v>9351.6642354475007</v>
      </c>
      <c r="H253">
        <v>7480.4680599795001</v>
      </c>
      <c r="I253">
        <v>0</v>
      </c>
      <c r="J253">
        <v>0</v>
      </c>
      <c r="K253">
        <v>0</v>
      </c>
      <c r="L253">
        <v>8.91</v>
      </c>
      <c r="M253">
        <v>0.25</v>
      </c>
      <c r="N253">
        <v>734.98500000000001</v>
      </c>
      <c r="O253">
        <v>699.73800000000006</v>
      </c>
      <c r="P253">
        <v>0</v>
      </c>
      <c r="R253">
        <v>0</v>
      </c>
      <c r="S253">
        <v>0</v>
      </c>
      <c r="T253">
        <v>166.80699999999999</v>
      </c>
      <c r="U253">
        <f t="shared" si="10"/>
        <v>8347.0130599795011</v>
      </c>
    </row>
    <row r="254" spans="1:21" x14ac:dyDescent="0.25">
      <c r="A254" t="s">
        <v>27</v>
      </c>
      <c r="B254" t="str">
        <f t="shared" si="12"/>
        <v>61988987</v>
      </c>
      <c r="C254" t="s">
        <v>162</v>
      </c>
      <c r="D254">
        <v>17630</v>
      </c>
      <c r="E254" t="s">
        <v>348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8.91</v>
      </c>
      <c r="M254">
        <v>0</v>
      </c>
      <c r="N254">
        <v>3.9887999999999999</v>
      </c>
      <c r="O254">
        <v>3.5899200000000002</v>
      </c>
      <c r="P254">
        <v>0</v>
      </c>
      <c r="R254">
        <v>0</v>
      </c>
      <c r="S254">
        <v>0</v>
      </c>
      <c r="T254">
        <v>0</v>
      </c>
      <c r="U254">
        <f t="shared" si="10"/>
        <v>3.5899200000000002</v>
      </c>
    </row>
    <row r="255" spans="1:21" x14ac:dyDescent="0.25">
      <c r="A255" t="s">
        <v>27</v>
      </c>
      <c r="B255" t="str">
        <f t="shared" si="12"/>
        <v>61988987</v>
      </c>
      <c r="C255" t="s">
        <v>162</v>
      </c>
      <c r="D255">
        <v>17640</v>
      </c>
      <c r="E255" t="s">
        <v>414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8.91</v>
      </c>
      <c r="M255">
        <v>0</v>
      </c>
      <c r="N255">
        <v>0</v>
      </c>
      <c r="O255">
        <v>0</v>
      </c>
      <c r="P255">
        <v>0</v>
      </c>
      <c r="R255">
        <v>0</v>
      </c>
      <c r="S255">
        <v>0</v>
      </c>
      <c r="T255">
        <v>0</v>
      </c>
      <c r="U255">
        <f t="shared" si="10"/>
        <v>0</v>
      </c>
    </row>
    <row r="256" spans="1:21" x14ac:dyDescent="0.25">
      <c r="A256" t="s">
        <v>27</v>
      </c>
      <c r="B256" t="str">
        <f t="shared" si="12"/>
        <v>61988987</v>
      </c>
      <c r="C256" t="s">
        <v>162</v>
      </c>
      <c r="D256">
        <v>17650</v>
      </c>
      <c r="E256" t="s">
        <v>415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8.91</v>
      </c>
      <c r="M256">
        <v>0</v>
      </c>
      <c r="N256">
        <v>0</v>
      </c>
      <c r="O256">
        <v>0</v>
      </c>
      <c r="P256">
        <v>0</v>
      </c>
      <c r="R256">
        <v>0</v>
      </c>
      <c r="S256">
        <v>0</v>
      </c>
      <c r="T256">
        <v>0</v>
      </c>
      <c r="U256">
        <f t="shared" si="10"/>
        <v>0</v>
      </c>
    </row>
    <row r="257" spans="1:21" x14ac:dyDescent="0.25">
      <c r="A257" t="s">
        <v>27</v>
      </c>
      <c r="B257" t="str">
        <f t="shared" si="12"/>
        <v>61988987</v>
      </c>
      <c r="C257" t="s">
        <v>162</v>
      </c>
      <c r="D257">
        <v>17670</v>
      </c>
      <c r="E257" t="s">
        <v>416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8.91</v>
      </c>
      <c r="M257">
        <v>0</v>
      </c>
      <c r="N257">
        <v>0</v>
      </c>
      <c r="O257">
        <v>0</v>
      </c>
      <c r="P257">
        <v>0</v>
      </c>
      <c r="R257">
        <v>0</v>
      </c>
      <c r="S257">
        <v>0</v>
      </c>
      <c r="T257">
        <v>0</v>
      </c>
      <c r="U257">
        <f t="shared" si="10"/>
        <v>0</v>
      </c>
    </row>
    <row r="258" spans="1:21" x14ac:dyDescent="0.25">
      <c r="A258" t="s">
        <v>27</v>
      </c>
      <c r="B258" t="str">
        <f t="shared" si="12"/>
        <v>61988987</v>
      </c>
      <c r="C258" t="s">
        <v>162</v>
      </c>
      <c r="D258">
        <v>17810</v>
      </c>
      <c r="E258" t="s">
        <v>297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8.91</v>
      </c>
      <c r="M258">
        <v>0</v>
      </c>
      <c r="N258">
        <v>0</v>
      </c>
      <c r="O258">
        <v>0</v>
      </c>
      <c r="P258">
        <v>0</v>
      </c>
      <c r="R258">
        <v>0</v>
      </c>
      <c r="S258">
        <v>0</v>
      </c>
      <c r="T258">
        <v>0</v>
      </c>
      <c r="U258">
        <f t="shared" si="10"/>
        <v>0</v>
      </c>
    </row>
    <row r="259" spans="1:21" x14ac:dyDescent="0.25">
      <c r="A259" t="s">
        <v>101</v>
      </c>
      <c r="B259" t="str">
        <f>"00023311"</f>
        <v>00023311</v>
      </c>
      <c r="C259" t="s">
        <v>163</v>
      </c>
      <c r="F259">
        <v>51</v>
      </c>
      <c r="G259">
        <v>447.41056149989998</v>
      </c>
      <c r="H259">
        <v>377.94756200457999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20.6752</v>
      </c>
      <c r="O259">
        <v>18.607700000000001</v>
      </c>
      <c r="P259">
        <v>0</v>
      </c>
      <c r="R259">
        <v>0</v>
      </c>
      <c r="S259">
        <v>0</v>
      </c>
      <c r="T259">
        <v>0</v>
      </c>
      <c r="U259">
        <f t="shared" si="10"/>
        <v>396.55526200458002</v>
      </c>
    </row>
    <row r="260" spans="1:21" x14ac:dyDescent="0.25">
      <c r="A260" t="s">
        <v>36</v>
      </c>
      <c r="B260" t="str">
        <f>"48135445"</f>
        <v>48135445</v>
      </c>
      <c r="C260" t="s">
        <v>164</v>
      </c>
      <c r="F260">
        <v>129</v>
      </c>
      <c r="G260">
        <v>1288.9862260931</v>
      </c>
      <c r="H260">
        <v>1087.3920324578</v>
      </c>
      <c r="I260">
        <v>0</v>
      </c>
      <c r="J260">
        <v>0</v>
      </c>
      <c r="K260">
        <v>0</v>
      </c>
      <c r="L260">
        <v>1</v>
      </c>
      <c r="M260">
        <v>0</v>
      </c>
      <c r="N260">
        <v>173.625</v>
      </c>
      <c r="O260">
        <v>156.262</v>
      </c>
      <c r="P260">
        <v>0</v>
      </c>
      <c r="R260">
        <v>0</v>
      </c>
      <c r="S260">
        <v>0</v>
      </c>
      <c r="T260">
        <v>0</v>
      </c>
      <c r="U260">
        <f t="shared" ref="U260:U323" si="13">H260+K260+O260+S260+T260</f>
        <v>1243.6540324578</v>
      </c>
    </row>
    <row r="261" spans="1:21" x14ac:dyDescent="0.25">
      <c r="A261" t="s">
        <v>42</v>
      </c>
      <c r="B261" t="str">
        <f>"68081740"</f>
        <v>68081740</v>
      </c>
      <c r="C261" t="s">
        <v>165</v>
      </c>
      <c r="F261">
        <v>203</v>
      </c>
      <c r="G261">
        <v>2356.5919046095</v>
      </c>
      <c r="H261">
        <v>1664.3609382471</v>
      </c>
      <c r="I261">
        <v>0</v>
      </c>
      <c r="J261">
        <v>0</v>
      </c>
      <c r="K261">
        <v>0</v>
      </c>
      <c r="L261">
        <v>2</v>
      </c>
      <c r="M261">
        <v>1</v>
      </c>
      <c r="N261">
        <v>197.626</v>
      </c>
      <c r="O261">
        <v>221.29</v>
      </c>
      <c r="P261">
        <v>0</v>
      </c>
      <c r="R261">
        <v>0</v>
      </c>
      <c r="S261">
        <v>0</v>
      </c>
      <c r="T261">
        <v>11.7265</v>
      </c>
      <c r="U261">
        <f t="shared" si="13"/>
        <v>1897.3774382470999</v>
      </c>
    </row>
    <row r="262" spans="1:21" x14ac:dyDescent="0.25">
      <c r="A262" t="s">
        <v>65</v>
      </c>
      <c r="B262" t="str">
        <f>"00023728"</f>
        <v>00023728</v>
      </c>
      <c r="C262" t="s">
        <v>166</v>
      </c>
      <c r="F262">
        <v>186</v>
      </c>
      <c r="G262">
        <v>3360.6154997056001</v>
      </c>
      <c r="H262">
        <v>2932.9045317832001</v>
      </c>
      <c r="I262">
        <v>0</v>
      </c>
      <c r="J262">
        <v>0</v>
      </c>
      <c r="K262">
        <v>0</v>
      </c>
      <c r="L262">
        <v>1</v>
      </c>
      <c r="M262">
        <v>0</v>
      </c>
      <c r="N262">
        <v>324.39100000000002</v>
      </c>
      <c r="O262">
        <v>291.952</v>
      </c>
      <c r="P262">
        <v>0</v>
      </c>
      <c r="Q262">
        <v>0</v>
      </c>
      <c r="R262">
        <v>278.96016766930001</v>
      </c>
      <c r="S262">
        <v>278.96016766930001</v>
      </c>
      <c r="T262">
        <v>957.69799999999998</v>
      </c>
      <c r="U262">
        <f t="shared" si="13"/>
        <v>4461.5146994525003</v>
      </c>
    </row>
    <row r="263" spans="1:21" x14ac:dyDescent="0.25">
      <c r="A263" t="s">
        <v>27</v>
      </c>
      <c r="B263" t="str">
        <f t="shared" ref="B263:B268" si="14">"47813059"</f>
        <v>47813059</v>
      </c>
      <c r="C263" t="s">
        <v>167</v>
      </c>
      <c r="D263">
        <v>19240</v>
      </c>
      <c r="E263" t="s">
        <v>417</v>
      </c>
      <c r="F263">
        <v>652</v>
      </c>
      <c r="G263">
        <v>10895.898331736</v>
      </c>
      <c r="H263">
        <v>11809.641066464999</v>
      </c>
      <c r="I263">
        <v>0</v>
      </c>
      <c r="J263">
        <v>0</v>
      </c>
      <c r="K263">
        <v>0</v>
      </c>
      <c r="L263">
        <v>5</v>
      </c>
      <c r="M263">
        <v>0.5</v>
      </c>
      <c r="N263">
        <v>783.90599999999995</v>
      </c>
      <c r="O263">
        <v>775.06</v>
      </c>
      <c r="P263">
        <v>0</v>
      </c>
      <c r="R263">
        <v>0</v>
      </c>
      <c r="S263">
        <v>0</v>
      </c>
      <c r="T263">
        <v>0</v>
      </c>
      <c r="U263">
        <f t="shared" si="13"/>
        <v>12584.701066464999</v>
      </c>
    </row>
    <row r="264" spans="1:21" x14ac:dyDescent="0.25">
      <c r="A264" t="s">
        <v>27</v>
      </c>
      <c r="B264" t="str">
        <f t="shared" si="14"/>
        <v>47813059</v>
      </c>
      <c r="C264" t="s">
        <v>167</v>
      </c>
      <c r="D264">
        <v>19510</v>
      </c>
      <c r="E264" t="s">
        <v>418</v>
      </c>
      <c r="F264">
        <v>107</v>
      </c>
      <c r="G264">
        <v>1569.3002693328001</v>
      </c>
      <c r="H264">
        <v>1138.0477890023999</v>
      </c>
      <c r="I264">
        <v>0</v>
      </c>
      <c r="J264">
        <v>0</v>
      </c>
      <c r="K264">
        <v>0</v>
      </c>
      <c r="L264">
        <v>5</v>
      </c>
      <c r="M264">
        <v>0</v>
      </c>
      <c r="N264">
        <v>73.500299999999996</v>
      </c>
      <c r="O264">
        <v>66.150300000000001</v>
      </c>
      <c r="P264">
        <v>0</v>
      </c>
      <c r="Q264">
        <v>0</v>
      </c>
      <c r="R264">
        <v>11.991737991400001</v>
      </c>
      <c r="S264">
        <v>11.991737991400001</v>
      </c>
      <c r="T264">
        <v>15.7881</v>
      </c>
      <c r="U264">
        <f t="shared" si="13"/>
        <v>1231.9779269937999</v>
      </c>
    </row>
    <row r="265" spans="1:21" x14ac:dyDescent="0.25">
      <c r="A265" t="s">
        <v>27</v>
      </c>
      <c r="B265" t="str">
        <f t="shared" si="14"/>
        <v>47813059</v>
      </c>
      <c r="C265" t="s">
        <v>167</v>
      </c>
      <c r="D265">
        <v>19520</v>
      </c>
      <c r="E265" t="s">
        <v>419</v>
      </c>
      <c r="F265">
        <v>737</v>
      </c>
      <c r="G265">
        <v>7347.5370304324997</v>
      </c>
      <c r="H265">
        <v>4473.9186213711</v>
      </c>
      <c r="I265">
        <v>0</v>
      </c>
      <c r="J265">
        <v>0</v>
      </c>
      <c r="K265">
        <v>0</v>
      </c>
      <c r="L265">
        <v>5</v>
      </c>
      <c r="M265">
        <v>0</v>
      </c>
      <c r="N265">
        <v>377.82400000000001</v>
      </c>
      <c r="O265">
        <v>340.04199999999997</v>
      </c>
      <c r="P265">
        <v>0</v>
      </c>
      <c r="R265">
        <v>0</v>
      </c>
      <c r="S265">
        <v>0</v>
      </c>
      <c r="T265">
        <v>0</v>
      </c>
      <c r="U265">
        <f t="shared" si="13"/>
        <v>4813.9606213711004</v>
      </c>
    </row>
    <row r="266" spans="1:21" x14ac:dyDescent="0.25">
      <c r="A266" t="s">
        <v>27</v>
      </c>
      <c r="B266" t="str">
        <f t="shared" si="14"/>
        <v>47813059</v>
      </c>
      <c r="C266" t="s">
        <v>167</v>
      </c>
      <c r="D266">
        <v>19610</v>
      </c>
      <c r="E266" t="s">
        <v>420</v>
      </c>
      <c r="F266">
        <v>107</v>
      </c>
      <c r="G266">
        <v>3999.2473747835002</v>
      </c>
      <c r="H266">
        <v>3617.9844374807999</v>
      </c>
      <c r="I266">
        <v>0</v>
      </c>
      <c r="J266">
        <v>0</v>
      </c>
      <c r="K266">
        <v>0</v>
      </c>
      <c r="L266">
        <v>5</v>
      </c>
      <c r="M266">
        <v>0.33</v>
      </c>
      <c r="N266">
        <v>347.17200000000003</v>
      </c>
      <c r="O266">
        <v>358.35399999999998</v>
      </c>
      <c r="P266">
        <v>0</v>
      </c>
      <c r="R266">
        <v>0</v>
      </c>
      <c r="S266">
        <v>0</v>
      </c>
      <c r="T266">
        <v>10.9595</v>
      </c>
      <c r="U266">
        <f t="shared" si="13"/>
        <v>3987.2979374807996</v>
      </c>
    </row>
    <row r="267" spans="1:21" x14ac:dyDescent="0.25">
      <c r="A267" t="s">
        <v>27</v>
      </c>
      <c r="B267" t="str">
        <f t="shared" si="14"/>
        <v>47813059</v>
      </c>
      <c r="C267" t="s">
        <v>167</v>
      </c>
      <c r="D267">
        <v>19620</v>
      </c>
      <c r="E267" t="s">
        <v>421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5</v>
      </c>
      <c r="M267">
        <v>0</v>
      </c>
      <c r="N267">
        <v>0</v>
      </c>
      <c r="O267">
        <v>0</v>
      </c>
      <c r="P267">
        <v>0</v>
      </c>
      <c r="R267">
        <v>0</v>
      </c>
      <c r="S267">
        <v>0</v>
      </c>
      <c r="T267">
        <v>0</v>
      </c>
      <c r="U267">
        <f t="shared" si="13"/>
        <v>0</v>
      </c>
    </row>
    <row r="268" spans="1:21" x14ac:dyDescent="0.25">
      <c r="A268" t="s">
        <v>27</v>
      </c>
      <c r="B268" t="str">
        <f t="shared" si="14"/>
        <v>47813059</v>
      </c>
      <c r="C268" t="s">
        <v>167</v>
      </c>
      <c r="D268">
        <v>19810</v>
      </c>
      <c r="E268" t="s">
        <v>422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5</v>
      </c>
      <c r="M268">
        <v>0</v>
      </c>
      <c r="N268">
        <v>0</v>
      </c>
      <c r="O268">
        <v>0</v>
      </c>
      <c r="P268">
        <v>0</v>
      </c>
      <c r="R268">
        <v>0</v>
      </c>
      <c r="S268">
        <v>0</v>
      </c>
      <c r="T268">
        <v>0</v>
      </c>
      <c r="U268">
        <f t="shared" si="13"/>
        <v>0</v>
      </c>
    </row>
    <row r="269" spans="1:21" x14ac:dyDescent="0.25">
      <c r="A269" t="s">
        <v>101</v>
      </c>
      <c r="B269" t="str">
        <f>"00100595"</f>
        <v>00100595</v>
      </c>
      <c r="C269" t="s">
        <v>168</v>
      </c>
      <c r="F269">
        <v>109</v>
      </c>
      <c r="G269">
        <v>1581.8617629826001</v>
      </c>
      <c r="H269">
        <v>1296.2970882453001</v>
      </c>
      <c r="I269">
        <v>0</v>
      </c>
      <c r="J269">
        <v>0</v>
      </c>
      <c r="K269">
        <v>0</v>
      </c>
      <c r="L269">
        <v>1</v>
      </c>
      <c r="M269">
        <v>0</v>
      </c>
      <c r="N269">
        <v>102.331</v>
      </c>
      <c r="O269">
        <v>92.097899999999996</v>
      </c>
      <c r="P269">
        <v>0</v>
      </c>
      <c r="Q269">
        <v>0</v>
      </c>
      <c r="R269">
        <v>61.0087545795</v>
      </c>
      <c r="S269">
        <v>61.0087545795</v>
      </c>
      <c r="T269">
        <v>254.27600000000001</v>
      </c>
      <c r="U269">
        <f t="shared" si="13"/>
        <v>1703.6797428248001</v>
      </c>
    </row>
    <row r="270" spans="1:21" x14ac:dyDescent="0.25">
      <c r="A270" t="s">
        <v>42</v>
      </c>
      <c r="B270" t="str">
        <f>"68378017"</f>
        <v>68378017</v>
      </c>
      <c r="C270" t="s">
        <v>169</v>
      </c>
      <c r="F270">
        <v>149</v>
      </c>
      <c r="G270">
        <v>2198.4931590995002</v>
      </c>
      <c r="H270">
        <v>1924.9631422550999</v>
      </c>
      <c r="I270">
        <v>0</v>
      </c>
      <c r="J270">
        <v>0</v>
      </c>
      <c r="K270">
        <v>0</v>
      </c>
      <c r="L270">
        <v>2</v>
      </c>
      <c r="M270">
        <v>0</v>
      </c>
      <c r="N270">
        <v>297.625</v>
      </c>
      <c r="O270">
        <v>267.86200000000002</v>
      </c>
      <c r="P270">
        <v>0</v>
      </c>
      <c r="R270">
        <v>0</v>
      </c>
      <c r="S270">
        <v>0</v>
      </c>
      <c r="T270">
        <v>0</v>
      </c>
      <c r="U270">
        <f t="shared" si="13"/>
        <v>2192.8251422550998</v>
      </c>
    </row>
    <row r="271" spans="1:21" x14ac:dyDescent="0.25">
      <c r="A271" t="s">
        <v>36</v>
      </c>
      <c r="B271" t="str">
        <f>"28586336"</f>
        <v>28586336</v>
      </c>
      <c r="C271" t="s">
        <v>170</v>
      </c>
      <c r="F271">
        <v>4</v>
      </c>
      <c r="G271">
        <v>28.042113429257</v>
      </c>
      <c r="H271">
        <v>23.762718668973999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41.036525455499998</v>
      </c>
      <c r="S271">
        <v>41.036525455499998</v>
      </c>
      <c r="T271">
        <v>141.93</v>
      </c>
      <c r="U271">
        <f t="shared" si="13"/>
        <v>206.72924412447401</v>
      </c>
    </row>
    <row r="272" spans="1:21" x14ac:dyDescent="0.25">
      <c r="A272" t="s">
        <v>42</v>
      </c>
      <c r="B272" t="str">
        <f>"68378025"</f>
        <v>68378025</v>
      </c>
      <c r="C272" t="s">
        <v>171</v>
      </c>
      <c r="F272">
        <v>398</v>
      </c>
      <c r="G272">
        <v>6261.2536228626996</v>
      </c>
      <c r="H272">
        <v>4827.4989867224003</v>
      </c>
      <c r="I272">
        <v>0</v>
      </c>
      <c r="J272">
        <v>0</v>
      </c>
      <c r="K272">
        <v>0</v>
      </c>
      <c r="L272">
        <v>3</v>
      </c>
      <c r="M272">
        <v>0.5</v>
      </c>
      <c r="N272">
        <v>1036.6600000000001</v>
      </c>
      <c r="O272">
        <v>1008.93</v>
      </c>
      <c r="P272">
        <v>0</v>
      </c>
      <c r="Q272">
        <v>0</v>
      </c>
      <c r="R272">
        <v>66.889116466700003</v>
      </c>
      <c r="S272">
        <v>66.889116466700003</v>
      </c>
      <c r="T272">
        <v>500.04199999999997</v>
      </c>
      <c r="U272">
        <f t="shared" si="13"/>
        <v>6403.3601031891012</v>
      </c>
    </row>
    <row r="273" spans="1:21" x14ac:dyDescent="0.25">
      <c r="A273" t="s">
        <v>27</v>
      </c>
      <c r="B273" t="str">
        <f>"00566047"</f>
        <v>00566047</v>
      </c>
      <c r="C273" t="s">
        <v>172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R273">
        <v>0</v>
      </c>
      <c r="S273">
        <v>0</v>
      </c>
      <c r="T273">
        <v>0</v>
      </c>
      <c r="U273">
        <f t="shared" si="13"/>
        <v>0</v>
      </c>
    </row>
    <row r="274" spans="1:21" x14ac:dyDescent="0.25">
      <c r="A274" t="s">
        <v>36</v>
      </c>
      <c r="B274" t="str">
        <f>"70565813"</f>
        <v>70565813</v>
      </c>
      <c r="C274" t="s">
        <v>173</v>
      </c>
      <c r="F274">
        <v>23</v>
      </c>
      <c r="G274">
        <v>276.71145345177001</v>
      </c>
      <c r="H274">
        <v>280.86602083668998</v>
      </c>
      <c r="I274">
        <v>0</v>
      </c>
      <c r="J274">
        <v>0</v>
      </c>
      <c r="K274">
        <v>0</v>
      </c>
      <c r="L274">
        <v>1</v>
      </c>
      <c r="M274">
        <v>0</v>
      </c>
      <c r="N274">
        <v>196.828</v>
      </c>
      <c r="O274">
        <v>177.14500000000001</v>
      </c>
      <c r="P274">
        <v>0</v>
      </c>
      <c r="Q274">
        <v>0</v>
      </c>
      <c r="R274">
        <v>572.09620774530003</v>
      </c>
      <c r="S274">
        <v>572.09620774530003</v>
      </c>
      <c r="T274">
        <v>2460.27</v>
      </c>
      <c r="U274">
        <f t="shared" si="13"/>
        <v>3490.37722858199</v>
      </c>
    </row>
    <row r="275" spans="1:21" x14ac:dyDescent="0.25">
      <c r="A275" t="s">
        <v>36</v>
      </c>
      <c r="B275" t="str">
        <f>"86652052"</f>
        <v>86652052</v>
      </c>
      <c r="C275" t="s">
        <v>174</v>
      </c>
      <c r="F275">
        <v>90</v>
      </c>
      <c r="G275">
        <v>1417.606766787</v>
      </c>
      <c r="H275">
        <v>1367.8669844935</v>
      </c>
      <c r="I275">
        <v>0</v>
      </c>
      <c r="J275">
        <v>0</v>
      </c>
      <c r="K275">
        <v>0</v>
      </c>
      <c r="L275">
        <v>1.88</v>
      </c>
      <c r="M275">
        <v>0</v>
      </c>
      <c r="N275">
        <v>315.57299999999998</v>
      </c>
      <c r="O275">
        <v>284.01600000000002</v>
      </c>
      <c r="P275">
        <v>0</v>
      </c>
      <c r="Q275">
        <v>0</v>
      </c>
      <c r="R275">
        <v>776.8798104663</v>
      </c>
      <c r="S275">
        <v>776.8798104663</v>
      </c>
      <c r="T275">
        <v>3425.76</v>
      </c>
      <c r="U275">
        <f t="shared" si="13"/>
        <v>5854.5227949598002</v>
      </c>
    </row>
    <row r="276" spans="1:21" x14ac:dyDescent="0.25">
      <c r="A276" t="s">
        <v>65</v>
      </c>
      <c r="B276" t="str">
        <f>"75010330"</f>
        <v>75010330</v>
      </c>
      <c r="C276" t="s">
        <v>175</v>
      </c>
      <c r="F276">
        <v>403</v>
      </c>
      <c r="G276">
        <v>4864.3622570416001</v>
      </c>
      <c r="H276">
        <v>4442.4826057131004</v>
      </c>
      <c r="I276">
        <v>0</v>
      </c>
      <c r="J276">
        <v>0</v>
      </c>
      <c r="K276">
        <v>0</v>
      </c>
      <c r="L276">
        <v>2</v>
      </c>
      <c r="M276">
        <v>0</v>
      </c>
      <c r="N276">
        <v>664.99599999999998</v>
      </c>
      <c r="O276">
        <v>598.49599999999998</v>
      </c>
      <c r="P276">
        <v>0</v>
      </c>
      <c r="Q276">
        <v>0</v>
      </c>
      <c r="R276">
        <v>458.64722590759999</v>
      </c>
      <c r="S276">
        <v>458.64722590759999</v>
      </c>
      <c r="T276">
        <v>1575.74</v>
      </c>
      <c r="U276">
        <f t="shared" si="13"/>
        <v>7075.3658316207002</v>
      </c>
    </row>
    <row r="277" spans="1:21" x14ac:dyDescent="0.25">
      <c r="A277" t="s">
        <v>42</v>
      </c>
      <c r="B277" t="str">
        <f>"60457856"</f>
        <v>60457856</v>
      </c>
      <c r="C277" t="s">
        <v>176</v>
      </c>
      <c r="F277">
        <v>3</v>
      </c>
      <c r="G277">
        <v>94.26</v>
      </c>
      <c r="H277">
        <v>47.433460049714</v>
      </c>
      <c r="I277">
        <v>0</v>
      </c>
      <c r="J277">
        <v>0</v>
      </c>
      <c r="K277">
        <v>0</v>
      </c>
      <c r="L277">
        <v>6</v>
      </c>
      <c r="M277">
        <v>0</v>
      </c>
      <c r="N277">
        <v>0</v>
      </c>
      <c r="O277">
        <v>0</v>
      </c>
      <c r="P277">
        <v>0</v>
      </c>
      <c r="R277">
        <v>0</v>
      </c>
      <c r="S277">
        <v>0</v>
      </c>
      <c r="T277">
        <v>0</v>
      </c>
      <c r="U277">
        <f t="shared" si="13"/>
        <v>47.433460049714</v>
      </c>
    </row>
    <row r="278" spans="1:21" x14ac:dyDescent="0.25">
      <c r="A278" t="s">
        <v>63</v>
      </c>
      <c r="B278" t="str">
        <f>"25797000"</f>
        <v>25797000</v>
      </c>
      <c r="C278" t="s">
        <v>177</v>
      </c>
      <c r="F278">
        <v>40</v>
      </c>
      <c r="G278">
        <v>523.79939355523004</v>
      </c>
      <c r="H278">
        <v>530.84457248643002</v>
      </c>
      <c r="I278">
        <v>0</v>
      </c>
      <c r="J278">
        <v>0</v>
      </c>
      <c r="K278">
        <v>0</v>
      </c>
      <c r="L278">
        <v>1</v>
      </c>
      <c r="M278">
        <v>0</v>
      </c>
      <c r="N278">
        <v>206.768</v>
      </c>
      <c r="O278">
        <v>186.09100000000001</v>
      </c>
      <c r="P278">
        <v>0</v>
      </c>
      <c r="Q278">
        <v>0</v>
      </c>
      <c r="R278">
        <v>401.69172077180002</v>
      </c>
      <c r="S278">
        <v>401.69172077180002</v>
      </c>
      <c r="T278">
        <v>1846.72</v>
      </c>
      <c r="U278">
        <f t="shared" si="13"/>
        <v>2965.3472932582299</v>
      </c>
    </row>
    <row r="279" spans="1:21" x14ac:dyDescent="0.25">
      <c r="A279" t="s">
        <v>63</v>
      </c>
      <c r="B279" t="str">
        <f>"25794787"</f>
        <v>25794787</v>
      </c>
      <c r="C279" t="s">
        <v>178</v>
      </c>
      <c r="F279">
        <v>36</v>
      </c>
      <c r="G279">
        <v>379.57062358189</v>
      </c>
      <c r="H279">
        <v>379.4433880446</v>
      </c>
      <c r="I279">
        <v>0</v>
      </c>
      <c r="J279">
        <v>0</v>
      </c>
      <c r="K279">
        <v>0</v>
      </c>
      <c r="L279">
        <v>1</v>
      </c>
      <c r="M279">
        <v>0</v>
      </c>
      <c r="N279">
        <v>189.946</v>
      </c>
      <c r="O279">
        <v>170.95099999999999</v>
      </c>
      <c r="P279">
        <v>0</v>
      </c>
      <c r="Q279">
        <v>0</v>
      </c>
      <c r="R279">
        <v>10.563650104500001</v>
      </c>
      <c r="S279">
        <v>10.563650104500001</v>
      </c>
      <c r="T279">
        <v>425.25</v>
      </c>
      <c r="U279">
        <f t="shared" si="13"/>
        <v>986.20803814909993</v>
      </c>
    </row>
    <row r="280" spans="1:21" x14ac:dyDescent="0.25">
      <c r="A280" t="s">
        <v>27</v>
      </c>
      <c r="B280" t="str">
        <f>"29142890"</f>
        <v>29142890</v>
      </c>
      <c r="C280" t="s">
        <v>179</v>
      </c>
      <c r="F280">
        <v>77</v>
      </c>
      <c r="G280">
        <v>667.10933843309999</v>
      </c>
      <c r="H280">
        <v>375.98957635454002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15.090299999999999</v>
      </c>
      <c r="O280">
        <v>13.581300000000001</v>
      </c>
      <c r="P280">
        <v>0</v>
      </c>
      <c r="R280">
        <v>0</v>
      </c>
      <c r="S280">
        <v>0</v>
      </c>
      <c r="T280">
        <v>1.4111199999999999</v>
      </c>
      <c r="U280">
        <f t="shared" si="13"/>
        <v>390.98199635454</v>
      </c>
    </row>
    <row r="281" spans="1:21" x14ac:dyDescent="0.25">
      <c r="A281" t="s">
        <v>27</v>
      </c>
      <c r="B281" t="str">
        <f t="shared" ref="B281:B291" si="15">"46747885"</f>
        <v>46747885</v>
      </c>
      <c r="C281" t="s">
        <v>180</v>
      </c>
      <c r="E281" t="s">
        <v>287</v>
      </c>
      <c r="F281">
        <v>2</v>
      </c>
      <c r="G281">
        <v>14</v>
      </c>
      <c r="H281">
        <v>16.438999652863</v>
      </c>
      <c r="I281">
        <v>0</v>
      </c>
      <c r="J281">
        <v>0</v>
      </c>
      <c r="K281">
        <v>0</v>
      </c>
      <c r="L281">
        <v>9</v>
      </c>
      <c r="M281">
        <v>0</v>
      </c>
      <c r="N281">
        <v>2.6000999999999999</v>
      </c>
      <c r="O281">
        <v>2.34009</v>
      </c>
      <c r="P281">
        <v>0</v>
      </c>
      <c r="R281">
        <v>0</v>
      </c>
      <c r="S281">
        <v>0</v>
      </c>
      <c r="T281">
        <v>6.226</v>
      </c>
      <c r="U281">
        <f t="shared" si="13"/>
        <v>25.005089652862999</v>
      </c>
    </row>
    <row r="282" spans="1:21" x14ac:dyDescent="0.25">
      <c r="A282" t="s">
        <v>27</v>
      </c>
      <c r="B282" t="str">
        <f t="shared" si="15"/>
        <v>46747885</v>
      </c>
      <c r="C282" t="s">
        <v>180</v>
      </c>
      <c r="D282">
        <v>24210</v>
      </c>
      <c r="E282" t="s">
        <v>313</v>
      </c>
      <c r="F282">
        <v>479</v>
      </c>
      <c r="G282">
        <v>5843.4220643936997</v>
      </c>
      <c r="H282">
        <v>4369.9455376554997</v>
      </c>
      <c r="I282">
        <v>0</v>
      </c>
      <c r="J282">
        <v>0</v>
      </c>
      <c r="K282">
        <v>0</v>
      </c>
      <c r="L282">
        <v>9</v>
      </c>
      <c r="M282">
        <v>0</v>
      </c>
      <c r="N282">
        <v>1053.96</v>
      </c>
      <c r="O282">
        <v>948.56399999999996</v>
      </c>
      <c r="P282">
        <v>580</v>
      </c>
      <c r="Q282">
        <v>415.35714268684001</v>
      </c>
      <c r="R282">
        <v>285.3865631603</v>
      </c>
      <c r="S282">
        <v>700.74370584719998</v>
      </c>
      <c r="T282">
        <v>5251.37</v>
      </c>
      <c r="U282">
        <f t="shared" si="13"/>
        <v>11270.6232435027</v>
      </c>
    </row>
    <row r="283" spans="1:21" x14ac:dyDescent="0.25">
      <c r="A283" t="s">
        <v>27</v>
      </c>
      <c r="B283" t="str">
        <f t="shared" si="15"/>
        <v>46747885</v>
      </c>
      <c r="C283" t="s">
        <v>180</v>
      </c>
      <c r="D283">
        <v>24220</v>
      </c>
      <c r="E283" t="s">
        <v>423</v>
      </c>
      <c r="F283">
        <v>384</v>
      </c>
      <c r="G283">
        <v>4280.6883208575</v>
      </c>
      <c r="H283">
        <v>3569.8807203255001</v>
      </c>
      <c r="I283">
        <v>0</v>
      </c>
      <c r="J283">
        <v>0</v>
      </c>
      <c r="K283">
        <v>0</v>
      </c>
      <c r="L283">
        <v>9</v>
      </c>
      <c r="M283">
        <v>0.5</v>
      </c>
      <c r="N283">
        <v>782.68200000000002</v>
      </c>
      <c r="O283">
        <v>783.44799999999998</v>
      </c>
      <c r="P283">
        <v>60</v>
      </c>
      <c r="Q283">
        <v>15.833333253859999</v>
      </c>
      <c r="R283">
        <v>273.96186006520003</v>
      </c>
      <c r="S283">
        <v>289.79519331910001</v>
      </c>
      <c r="T283">
        <v>3144.86</v>
      </c>
      <c r="U283">
        <f t="shared" si="13"/>
        <v>7787.9839136446008</v>
      </c>
    </row>
    <row r="284" spans="1:21" x14ac:dyDescent="0.25">
      <c r="A284" t="s">
        <v>27</v>
      </c>
      <c r="B284" t="str">
        <f t="shared" si="15"/>
        <v>46747885</v>
      </c>
      <c r="C284" t="s">
        <v>180</v>
      </c>
      <c r="D284">
        <v>24310</v>
      </c>
      <c r="E284" t="s">
        <v>342</v>
      </c>
      <c r="F284">
        <v>271</v>
      </c>
      <c r="G284">
        <v>3279.3305710987001</v>
      </c>
      <c r="H284">
        <v>2420.1455484531998</v>
      </c>
      <c r="I284">
        <v>0</v>
      </c>
      <c r="J284">
        <v>0</v>
      </c>
      <c r="K284">
        <v>0</v>
      </c>
      <c r="L284">
        <v>9</v>
      </c>
      <c r="M284">
        <v>0</v>
      </c>
      <c r="N284">
        <v>278.95400000000001</v>
      </c>
      <c r="O284">
        <v>251.059</v>
      </c>
      <c r="P284">
        <v>0</v>
      </c>
      <c r="Q284">
        <v>0</v>
      </c>
      <c r="R284">
        <v>26.209612982900001</v>
      </c>
      <c r="S284">
        <v>26.209612982900001</v>
      </c>
      <c r="T284">
        <v>136.374</v>
      </c>
      <c r="U284">
        <f t="shared" si="13"/>
        <v>2833.7881614360999</v>
      </c>
    </row>
    <row r="285" spans="1:21" x14ac:dyDescent="0.25">
      <c r="A285" t="s">
        <v>27</v>
      </c>
      <c r="B285" t="str">
        <f t="shared" si="15"/>
        <v>46747885</v>
      </c>
      <c r="C285" t="s">
        <v>180</v>
      </c>
      <c r="D285">
        <v>24410</v>
      </c>
      <c r="E285" t="s">
        <v>424</v>
      </c>
      <c r="F285">
        <v>447</v>
      </c>
      <c r="G285">
        <v>8267.8291648728009</v>
      </c>
      <c r="H285">
        <v>6765.6431315405998</v>
      </c>
      <c r="I285">
        <v>0</v>
      </c>
      <c r="J285">
        <v>0</v>
      </c>
      <c r="K285">
        <v>0</v>
      </c>
      <c r="L285">
        <v>9</v>
      </c>
      <c r="M285">
        <v>0</v>
      </c>
      <c r="N285">
        <v>524.49</v>
      </c>
      <c r="O285">
        <v>472.041</v>
      </c>
      <c r="P285">
        <v>250</v>
      </c>
      <c r="Q285">
        <v>204.35714340210001</v>
      </c>
      <c r="R285">
        <v>167.96833704869999</v>
      </c>
      <c r="S285">
        <v>372.3254804508</v>
      </c>
      <c r="T285">
        <v>1579.54</v>
      </c>
      <c r="U285">
        <f t="shared" si="13"/>
        <v>9189.5496119913987</v>
      </c>
    </row>
    <row r="286" spans="1:21" x14ac:dyDescent="0.25">
      <c r="A286" t="s">
        <v>27</v>
      </c>
      <c r="B286" t="str">
        <f t="shared" si="15"/>
        <v>46747885</v>
      </c>
      <c r="C286" t="s">
        <v>180</v>
      </c>
      <c r="D286">
        <v>24510</v>
      </c>
      <c r="E286" t="s">
        <v>425</v>
      </c>
      <c r="F286">
        <v>391</v>
      </c>
      <c r="G286">
        <v>4574.9832027045004</v>
      </c>
      <c r="H286">
        <v>3912.0317391422</v>
      </c>
      <c r="I286">
        <v>0</v>
      </c>
      <c r="J286">
        <v>0</v>
      </c>
      <c r="K286">
        <v>0</v>
      </c>
      <c r="L286">
        <v>9</v>
      </c>
      <c r="M286">
        <v>1</v>
      </c>
      <c r="N286">
        <v>448.32100000000003</v>
      </c>
      <c r="O286">
        <v>561.55799999999999</v>
      </c>
      <c r="P286">
        <v>10</v>
      </c>
      <c r="Q286">
        <v>2.5</v>
      </c>
      <c r="R286">
        <v>0</v>
      </c>
      <c r="S286">
        <v>2.5</v>
      </c>
      <c r="T286">
        <v>217.97800000000001</v>
      </c>
      <c r="U286">
        <f t="shared" si="13"/>
        <v>4694.0677391422005</v>
      </c>
    </row>
    <row r="287" spans="1:21" x14ac:dyDescent="0.25">
      <c r="A287" t="s">
        <v>27</v>
      </c>
      <c r="B287" t="str">
        <f t="shared" si="15"/>
        <v>46747885</v>
      </c>
      <c r="C287" t="s">
        <v>180</v>
      </c>
      <c r="D287">
        <v>24520</v>
      </c>
      <c r="E287" t="s">
        <v>426</v>
      </c>
      <c r="F287">
        <v>6</v>
      </c>
      <c r="G287">
        <v>266</v>
      </c>
      <c r="H287">
        <v>144.5086418054</v>
      </c>
      <c r="I287">
        <v>0</v>
      </c>
      <c r="J287">
        <v>0</v>
      </c>
      <c r="K287">
        <v>0</v>
      </c>
      <c r="L287">
        <v>9</v>
      </c>
      <c r="M287">
        <v>0</v>
      </c>
      <c r="N287">
        <v>0</v>
      </c>
      <c r="O287">
        <v>0</v>
      </c>
      <c r="P287">
        <v>0</v>
      </c>
      <c r="R287">
        <v>0</v>
      </c>
      <c r="S287">
        <v>0</v>
      </c>
      <c r="T287">
        <v>0</v>
      </c>
      <c r="U287">
        <f t="shared" si="13"/>
        <v>144.5086418054</v>
      </c>
    </row>
    <row r="288" spans="1:21" x14ac:dyDescent="0.25">
      <c r="A288" t="s">
        <v>27</v>
      </c>
      <c r="B288" t="str">
        <f t="shared" si="15"/>
        <v>46747885</v>
      </c>
      <c r="C288" t="s">
        <v>180</v>
      </c>
      <c r="D288">
        <v>24610</v>
      </c>
      <c r="E288" t="s">
        <v>427</v>
      </c>
      <c r="F288">
        <v>9</v>
      </c>
      <c r="G288">
        <v>87.833754013046999</v>
      </c>
      <c r="H288">
        <v>77.927923552321005</v>
      </c>
      <c r="I288">
        <v>0</v>
      </c>
      <c r="J288">
        <v>0</v>
      </c>
      <c r="K288">
        <v>0</v>
      </c>
      <c r="L288">
        <v>9</v>
      </c>
      <c r="M288">
        <v>0</v>
      </c>
      <c r="N288">
        <v>5.1993</v>
      </c>
      <c r="O288">
        <v>4.6793699999999996</v>
      </c>
      <c r="P288">
        <v>10</v>
      </c>
      <c r="Q288">
        <v>2.5</v>
      </c>
      <c r="R288">
        <v>0</v>
      </c>
      <c r="S288">
        <v>2.5</v>
      </c>
      <c r="T288">
        <v>0</v>
      </c>
      <c r="U288">
        <f t="shared" si="13"/>
        <v>85.107293552321011</v>
      </c>
    </row>
    <row r="289" spans="1:21" x14ac:dyDescent="0.25">
      <c r="A289" t="s">
        <v>27</v>
      </c>
      <c r="B289" t="str">
        <f t="shared" si="15"/>
        <v>46747885</v>
      </c>
      <c r="C289" t="s">
        <v>180</v>
      </c>
      <c r="D289">
        <v>24620</v>
      </c>
      <c r="E289" t="s">
        <v>428</v>
      </c>
      <c r="F289">
        <v>210</v>
      </c>
      <c r="G289">
        <v>3697.0289832132999</v>
      </c>
      <c r="H289">
        <v>3132.3813949584001</v>
      </c>
      <c r="I289">
        <v>0</v>
      </c>
      <c r="J289">
        <v>0</v>
      </c>
      <c r="K289">
        <v>0</v>
      </c>
      <c r="L289">
        <v>9</v>
      </c>
      <c r="M289">
        <v>0.25</v>
      </c>
      <c r="N289">
        <v>122.801</v>
      </c>
      <c r="O289">
        <v>150.03800000000001</v>
      </c>
      <c r="P289">
        <v>360</v>
      </c>
      <c r="Q289">
        <v>134.47619032860001</v>
      </c>
      <c r="R289">
        <v>1636.1896938155</v>
      </c>
      <c r="S289">
        <v>1770.6658841440999</v>
      </c>
      <c r="T289">
        <v>5257.57</v>
      </c>
      <c r="U289">
        <f t="shared" si="13"/>
        <v>10310.655279102499</v>
      </c>
    </row>
    <row r="290" spans="1:21" x14ac:dyDescent="0.25">
      <c r="A290" t="s">
        <v>27</v>
      </c>
      <c r="B290" t="str">
        <f t="shared" si="15"/>
        <v>46747885</v>
      </c>
      <c r="C290" t="s">
        <v>180</v>
      </c>
      <c r="D290">
        <v>24630</v>
      </c>
      <c r="E290" t="s">
        <v>429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9</v>
      </c>
      <c r="M290">
        <v>0</v>
      </c>
      <c r="N290">
        <v>0</v>
      </c>
      <c r="O290">
        <v>0</v>
      </c>
      <c r="P290">
        <v>0</v>
      </c>
      <c r="R290">
        <v>0</v>
      </c>
      <c r="S290">
        <v>0</v>
      </c>
      <c r="T290">
        <v>0</v>
      </c>
      <c r="U290">
        <f t="shared" si="13"/>
        <v>0</v>
      </c>
    </row>
    <row r="291" spans="1:21" x14ac:dyDescent="0.25">
      <c r="A291" t="s">
        <v>27</v>
      </c>
      <c r="B291" t="str">
        <f t="shared" si="15"/>
        <v>46747885</v>
      </c>
      <c r="C291" t="s">
        <v>180</v>
      </c>
      <c r="D291">
        <v>24810</v>
      </c>
      <c r="E291" t="s">
        <v>430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9</v>
      </c>
      <c r="M291">
        <v>0</v>
      </c>
      <c r="N291">
        <v>18.0063</v>
      </c>
      <c r="O291">
        <v>16.2057</v>
      </c>
      <c r="P291">
        <v>0</v>
      </c>
      <c r="R291">
        <v>0</v>
      </c>
      <c r="S291">
        <v>0</v>
      </c>
      <c r="T291">
        <v>200.071</v>
      </c>
      <c r="U291">
        <f t="shared" si="13"/>
        <v>216.27670000000001</v>
      </c>
    </row>
    <row r="292" spans="1:21" x14ac:dyDescent="0.25">
      <c r="A292" t="s">
        <v>101</v>
      </c>
      <c r="B292" t="str">
        <f>"00101435"</f>
        <v>00101435</v>
      </c>
      <c r="C292" t="s">
        <v>181</v>
      </c>
      <c r="F292">
        <v>48</v>
      </c>
      <c r="G292">
        <v>405.89641310479999</v>
      </c>
      <c r="H292">
        <v>296.13178225931</v>
      </c>
      <c r="I292">
        <v>0</v>
      </c>
      <c r="J292">
        <v>0</v>
      </c>
      <c r="K292">
        <v>0</v>
      </c>
      <c r="L292">
        <v>1</v>
      </c>
      <c r="M292">
        <v>0</v>
      </c>
      <c r="N292">
        <v>10.3995</v>
      </c>
      <c r="O292">
        <v>9.3595500000000005</v>
      </c>
      <c r="P292">
        <v>0</v>
      </c>
      <c r="Q292">
        <v>0</v>
      </c>
      <c r="R292">
        <v>61.449781721000001</v>
      </c>
      <c r="S292">
        <v>61.449781721000001</v>
      </c>
      <c r="T292">
        <v>88.571200000000005</v>
      </c>
      <c r="U292">
        <f t="shared" si="13"/>
        <v>455.51231398031007</v>
      </c>
    </row>
    <row r="293" spans="1:21" x14ac:dyDescent="0.25">
      <c r="A293" t="s">
        <v>27</v>
      </c>
      <c r="B293" t="str">
        <f>"60456540"</f>
        <v>60456540</v>
      </c>
      <c r="C293" t="s">
        <v>182</v>
      </c>
      <c r="F293">
        <v>43</v>
      </c>
      <c r="G293">
        <v>358.48682021254001</v>
      </c>
      <c r="H293">
        <v>318.40454694584002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141.316</v>
      </c>
      <c r="O293">
        <v>127.184</v>
      </c>
      <c r="P293">
        <v>0</v>
      </c>
      <c r="Q293">
        <v>0</v>
      </c>
      <c r="R293">
        <v>126.826805131</v>
      </c>
      <c r="S293">
        <v>126.826805131</v>
      </c>
      <c r="T293">
        <v>275.27699999999999</v>
      </c>
      <c r="U293">
        <f t="shared" si="13"/>
        <v>847.69235207684005</v>
      </c>
    </row>
    <row r="294" spans="1:21" x14ac:dyDescent="0.25">
      <c r="A294" t="s">
        <v>27</v>
      </c>
      <c r="B294" t="str">
        <f>"00013251"</f>
        <v>00013251</v>
      </c>
      <c r="C294" t="s">
        <v>183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R294">
        <v>0</v>
      </c>
      <c r="S294">
        <v>0</v>
      </c>
      <c r="T294">
        <v>0</v>
      </c>
      <c r="U294">
        <f t="shared" si="13"/>
        <v>0</v>
      </c>
    </row>
    <row r="295" spans="1:21" x14ac:dyDescent="0.25">
      <c r="A295" t="s">
        <v>27</v>
      </c>
      <c r="B295" t="str">
        <f>"28622201"</f>
        <v>28622201</v>
      </c>
      <c r="C295" t="s">
        <v>184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R295">
        <v>0</v>
      </c>
      <c r="S295">
        <v>0</v>
      </c>
      <c r="T295">
        <v>0</v>
      </c>
      <c r="U295">
        <f t="shared" si="13"/>
        <v>0</v>
      </c>
    </row>
    <row r="296" spans="1:21" x14ac:dyDescent="0.25">
      <c r="A296" t="s">
        <v>65</v>
      </c>
      <c r="B296" t="str">
        <f>"00064190"</f>
        <v>00064190</v>
      </c>
      <c r="C296" t="s">
        <v>185</v>
      </c>
      <c r="F296">
        <v>321</v>
      </c>
      <c r="G296">
        <v>3358.3330256363001</v>
      </c>
      <c r="H296">
        <v>2910.3522718344998</v>
      </c>
      <c r="I296">
        <v>0</v>
      </c>
      <c r="J296">
        <v>0</v>
      </c>
      <c r="K296">
        <v>0</v>
      </c>
      <c r="L296">
        <v>1</v>
      </c>
      <c r="M296">
        <v>0</v>
      </c>
      <c r="N296">
        <v>181.364</v>
      </c>
      <c r="O296">
        <v>163.22800000000001</v>
      </c>
      <c r="P296">
        <v>0</v>
      </c>
      <c r="Q296">
        <v>0</v>
      </c>
      <c r="R296">
        <v>224.3988098733</v>
      </c>
      <c r="S296">
        <v>224.3988098733</v>
      </c>
      <c r="T296">
        <v>631.38199999999995</v>
      </c>
      <c r="U296">
        <f t="shared" si="13"/>
        <v>3929.3610817077997</v>
      </c>
    </row>
    <row r="297" spans="1:21" x14ac:dyDescent="0.25">
      <c r="B297" t="str">
        <f>"29278872"</f>
        <v>29278872</v>
      </c>
      <c r="C297" t="s">
        <v>186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R297">
        <v>0</v>
      </c>
      <c r="S297">
        <v>0</v>
      </c>
      <c r="T297">
        <v>0</v>
      </c>
      <c r="U297">
        <f t="shared" si="13"/>
        <v>0</v>
      </c>
    </row>
    <row r="298" spans="1:21" x14ac:dyDescent="0.25">
      <c r="A298" t="s">
        <v>101</v>
      </c>
      <c r="B298" t="str">
        <f>"00023442"</f>
        <v>00023442</v>
      </c>
      <c r="C298" t="s">
        <v>187</v>
      </c>
      <c r="F298">
        <v>97</v>
      </c>
      <c r="G298">
        <v>2054.8592598552</v>
      </c>
      <c r="H298">
        <v>1694.6285073944</v>
      </c>
      <c r="I298">
        <v>0</v>
      </c>
      <c r="J298">
        <v>0</v>
      </c>
      <c r="K298">
        <v>0</v>
      </c>
      <c r="L298">
        <v>1</v>
      </c>
      <c r="M298">
        <v>0</v>
      </c>
      <c r="N298">
        <v>165.43100000000001</v>
      </c>
      <c r="O298">
        <v>148.88800000000001</v>
      </c>
      <c r="P298">
        <v>0</v>
      </c>
      <c r="Q298">
        <v>0</v>
      </c>
      <c r="R298">
        <v>55.485414663999997</v>
      </c>
      <c r="S298">
        <v>55.485414663999997</v>
      </c>
      <c r="T298">
        <v>114.92100000000001</v>
      </c>
      <c r="U298">
        <f t="shared" si="13"/>
        <v>2013.9229220584</v>
      </c>
    </row>
    <row r="299" spans="1:21" x14ac:dyDescent="0.25">
      <c r="A299" t="s">
        <v>63</v>
      </c>
      <c r="B299" t="str">
        <f>"62243136"</f>
        <v>62243136</v>
      </c>
      <c r="C299" t="s">
        <v>188</v>
      </c>
      <c r="F299">
        <v>71</v>
      </c>
      <c r="G299">
        <v>2158.0766663721001</v>
      </c>
      <c r="H299">
        <v>2255.8791097081998</v>
      </c>
      <c r="I299">
        <v>0</v>
      </c>
      <c r="J299">
        <v>0</v>
      </c>
      <c r="K299">
        <v>0</v>
      </c>
      <c r="L299">
        <v>1.5</v>
      </c>
      <c r="M299">
        <v>1.5</v>
      </c>
      <c r="N299">
        <v>554.73599999999999</v>
      </c>
      <c r="O299">
        <v>743.06100000000004</v>
      </c>
      <c r="P299">
        <v>40</v>
      </c>
      <c r="Q299">
        <v>35.454545497894003</v>
      </c>
      <c r="R299">
        <v>707.91156604670005</v>
      </c>
      <c r="S299">
        <v>743.36611154460002</v>
      </c>
      <c r="T299">
        <v>3483.74</v>
      </c>
      <c r="U299">
        <f t="shared" si="13"/>
        <v>7226.0462212528</v>
      </c>
    </row>
    <row r="300" spans="1:21" x14ac:dyDescent="0.25">
      <c r="A300" t="s">
        <v>27</v>
      </c>
      <c r="B300" t="str">
        <f t="shared" ref="B300:B305" si="16">"62690094"</f>
        <v>62690094</v>
      </c>
      <c r="C300" t="s">
        <v>189</v>
      </c>
      <c r="D300">
        <v>18440</v>
      </c>
      <c r="E300" t="s">
        <v>341</v>
      </c>
      <c r="F300">
        <v>665</v>
      </c>
      <c r="G300">
        <v>8184.7088276075001</v>
      </c>
      <c r="H300">
        <v>5661.9810815506999</v>
      </c>
      <c r="I300">
        <v>0</v>
      </c>
      <c r="J300">
        <v>0</v>
      </c>
      <c r="K300">
        <v>0</v>
      </c>
      <c r="L300">
        <v>5</v>
      </c>
      <c r="M300">
        <v>0</v>
      </c>
      <c r="N300">
        <v>574.73299999999995</v>
      </c>
      <c r="O300">
        <v>517.26</v>
      </c>
      <c r="P300">
        <v>0</v>
      </c>
      <c r="R300">
        <v>0</v>
      </c>
      <c r="S300">
        <v>0</v>
      </c>
      <c r="T300">
        <v>72.660300000000007</v>
      </c>
      <c r="U300">
        <f t="shared" si="13"/>
        <v>6251.9013815507005</v>
      </c>
    </row>
    <row r="301" spans="1:21" x14ac:dyDescent="0.25">
      <c r="A301" t="s">
        <v>27</v>
      </c>
      <c r="B301" t="str">
        <f t="shared" si="16"/>
        <v>62690094</v>
      </c>
      <c r="C301" t="s">
        <v>189</v>
      </c>
      <c r="D301">
        <v>18450</v>
      </c>
      <c r="E301" t="s">
        <v>431</v>
      </c>
      <c r="F301">
        <v>873</v>
      </c>
      <c r="G301">
        <v>11119.744247041001</v>
      </c>
      <c r="H301">
        <v>6505.2058465434002</v>
      </c>
      <c r="I301">
        <v>0</v>
      </c>
      <c r="J301">
        <v>0</v>
      </c>
      <c r="K301">
        <v>0</v>
      </c>
      <c r="L301">
        <v>5</v>
      </c>
      <c r="M301">
        <v>0</v>
      </c>
      <c r="N301">
        <v>416.85300000000001</v>
      </c>
      <c r="O301">
        <v>375.16800000000001</v>
      </c>
      <c r="P301">
        <v>0</v>
      </c>
      <c r="R301">
        <v>0</v>
      </c>
      <c r="S301">
        <v>0</v>
      </c>
      <c r="T301">
        <v>0</v>
      </c>
      <c r="U301">
        <f t="shared" si="13"/>
        <v>6880.3738465433998</v>
      </c>
    </row>
    <row r="302" spans="1:21" x14ac:dyDescent="0.25">
      <c r="A302" t="s">
        <v>27</v>
      </c>
      <c r="B302" t="str">
        <f t="shared" si="16"/>
        <v>62690094</v>
      </c>
      <c r="C302" t="s">
        <v>189</v>
      </c>
      <c r="D302">
        <v>18460</v>
      </c>
      <c r="E302" t="s">
        <v>337</v>
      </c>
      <c r="F302">
        <v>478</v>
      </c>
      <c r="G302">
        <v>5351.6253917073</v>
      </c>
      <c r="H302">
        <v>4401.6037463866996</v>
      </c>
      <c r="I302">
        <v>0</v>
      </c>
      <c r="J302">
        <v>0</v>
      </c>
      <c r="K302">
        <v>0</v>
      </c>
      <c r="L302">
        <v>5</v>
      </c>
      <c r="M302">
        <v>0.5</v>
      </c>
      <c r="N302">
        <v>383.57</v>
      </c>
      <c r="O302">
        <v>414.38099999999997</v>
      </c>
      <c r="P302">
        <v>0</v>
      </c>
      <c r="R302">
        <v>0</v>
      </c>
      <c r="S302">
        <v>0</v>
      </c>
      <c r="T302">
        <v>0</v>
      </c>
      <c r="U302">
        <f t="shared" si="13"/>
        <v>4815.9847463867</v>
      </c>
    </row>
    <row r="303" spans="1:21" x14ac:dyDescent="0.25">
      <c r="A303" t="s">
        <v>27</v>
      </c>
      <c r="B303" t="str">
        <f t="shared" si="16"/>
        <v>62690094</v>
      </c>
      <c r="C303" t="s">
        <v>189</v>
      </c>
      <c r="D303">
        <v>18470</v>
      </c>
      <c r="E303" t="s">
        <v>340</v>
      </c>
      <c r="F303">
        <v>425</v>
      </c>
      <c r="G303">
        <v>4195.8659889660003</v>
      </c>
      <c r="H303">
        <v>3461.5336558218</v>
      </c>
      <c r="I303">
        <v>0</v>
      </c>
      <c r="J303">
        <v>0</v>
      </c>
      <c r="K303">
        <v>0</v>
      </c>
      <c r="L303">
        <v>5</v>
      </c>
      <c r="M303">
        <v>0</v>
      </c>
      <c r="N303">
        <v>182.34800000000001</v>
      </c>
      <c r="O303">
        <v>164.113</v>
      </c>
      <c r="P303">
        <v>20</v>
      </c>
      <c r="Q303">
        <v>10.317460775375</v>
      </c>
      <c r="R303">
        <v>0</v>
      </c>
      <c r="S303">
        <v>10.317460775300001</v>
      </c>
      <c r="T303">
        <v>69.567599999999999</v>
      </c>
      <c r="U303">
        <f t="shared" si="13"/>
        <v>3705.5317165970996</v>
      </c>
    </row>
    <row r="304" spans="1:21" x14ac:dyDescent="0.25">
      <c r="A304" t="s">
        <v>27</v>
      </c>
      <c r="B304" t="str">
        <f t="shared" si="16"/>
        <v>62690094</v>
      </c>
      <c r="C304" t="s">
        <v>189</v>
      </c>
      <c r="D304">
        <v>18610</v>
      </c>
      <c r="E304" t="s">
        <v>432</v>
      </c>
      <c r="F304">
        <v>108</v>
      </c>
      <c r="G304">
        <v>585.67662651841999</v>
      </c>
      <c r="H304">
        <v>387.47236969953002</v>
      </c>
      <c r="I304">
        <v>0</v>
      </c>
      <c r="J304">
        <v>0</v>
      </c>
      <c r="K304">
        <v>0</v>
      </c>
      <c r="L304">
        <v>5</v>
      </c>
      <c r="M304">
        <v>0</v>
      </c>
      <c r="N304">
        <v>16.345800000000001</v>
      </c>
      <c r="O304">
        <v>14.7112</v>
      </c>
      <c r="P304">
        <v>0</v>
      </c>
      <c r="R304">
        <v>0</v>
      </c>
      <c r="S304">
        <v>0</v>
      </c>
      <c r="T304">
        <v>0</v>
      </c>
      <c r="U304">
        <f t="shared" si="13"/>
        <v>402.18356969953004</v>
      </c>
    </row>
    <row r="305" spans="1:21" x14ac:dyDescent="0.25">
      <c r="A305" t="s">
        <v>27</v>
      </c>
      <c r="B305" t="str">
        <f t="shared" si="16"/>
        <v>62690094</v>
      </c>
      <c r="C305" t="s">
        <v>189</v>
      </c>
      <c r="D305">
        <v>18810</v>
      </c>
      <c r="E305" t="s">
        <v>297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5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16.738030085999998</v>
      </c>
      <c r="S305">
        <v>16.738030085999998</v>
      </c>
      <c r="T305">
        <v>0</v>
      </c>
      <c r="U305">
        <f t="shared" si="13"/>
        <v>16.738030085999998</v>
      </c>
    </row>
    <row r="306" spans="1:21" x14ac:dyDescent="0.25">
      <c r="A306" t="s">
        <v>27</v>
      </c>
      <c r="B306" t="str">
        <f>"46358978"</f>
        <v>46358978</v>
      </c>
      <c r="C306" t="s">
        <v>190</v>
      </c>
      <c r="F306">
        <v>28</v>
      </c>
      <c r="G306">
        <v>416.91266087823999</v>
      </c>
      <c r="H306">
        <v>373.69782659010002</v>
      </c>
      <c r="I306">
        <v>0</v>
      </c>
      <c r="J306">
        <v>0</v>
      </c>
      <c r="K306">
        <v>0</v>
      </c>
      <c r="L306">
        <v>1</v>
      </c>
      <c r="M306">
        <v>0</v>
      </c>
      <c r="N306">
        <v>28.5792</v>
      </c>
      <c r="O306">
        <v>25.721299999999999</v>
      </c>
      <c r="P306">
        <v>0</v>
      </c>
      <c r="R306">
        <v>0</v>
      </c>
      <c r="S306">
        <v>0</v>
      </c>
      <c r="T306">
        <v>0</v>
      </c>
      <c r="U306">
        <f t="shared" si="13"/>
        <v>399.41912659010001</v>
      </c>
    </row>
    <row r="307" spans="1:21" x14ac:dyDescent="0.25">
      <c r="A307" t="s">
        <v>27</v>
      </c>
      <c r="B307" t="str">
        <f t="shared" ref="B307:B324" si="17">"44555601"</f>
        <v>44555601</v>
      </c>
      <c r="C307" t="s">
        <v>191</v>
      </c>
      <c r="D307">
        <v>13410</v>
      </c>
      <c r="E307" t="s">
        <v>337</v>
      </c>
      <c r="F307">
        <v>400</v>
      </c>
      <c r="G307">
        <v>4013.3269449944</v>
      </c>
      <c r="H307">
        <v>3230.5441055020001</v>
      </c>
      <c r="I307">
        <v>0</v>
      </c>
      <c r="J307">
        <v>0</v>
      </c>
      <c r="K307">
        <v>0</v>
      </c>
      <c r="L307">
        <v>5</v>
      </c>
      <c r="M307">
        <v>0.23</v>
      </c>
      <c r="N307">
        <v>345.65300000000002</v>
      </c>
      <c r="O307">
        <v>345.36900000000003</v>
      </c>
      <c r="P307">
        <v>0</v>
      </c>
      <c r="Q307">
        <v>0</v>
      </c>
      <c r="R307">
        <v>136.44539707499999</v>
      </c>
      <c r="S307">
        <v>136.44539707499999</v>
      </c>
      <c r="T307">
        <v>572.13800000000003</v>
      </c>
      <c r="U307">
        <f t="shared" si="13"/>
        <v>4284.4965025770007</v>
      </c>
    </row>
    <row r="308" spans="1:21" x14ac:dyDescent="0.25">
      <c r="A308" t="s">
        <v>27</v>
      </c>
      <c r="B308" t="str">
        <f t="shared" si="17"/>
        <v>44555601</v>
      </c>
      <c r="C308" t="s">
        <v>191</v>
      </c>
      <c r="D308">
        <v>13420</v>
      </c>
      <c r="E308" t="s">
        <v>433</v>
      </c>
      <c r="F308">
        <v>188</v>
      </c>
      <c r="G308">
        <v>2478.9722916558999</v>
      </c>
      <c r="H308">
        <v>2011.9776514391999</v>
      </c>
      <c r="I308">
        <v>0</v>
      </c>
      <c r="J308">
        <v>0</v>
      </c>
      <c r="K308">
        <v>0</v>
      </c>
      <c r="L308">
        <v>5</v>
      </c>
      <c r="M308">
        <v>0</v>
      </c>
      <c r="N308">
        <v>128.19</v>
      </c>
      <c r="O308">
        <v>115.371</v>
      </c>
      <c r="P308">
        <v>0</v>
      </c>
      <c r="Q308">
        <v>0</v>
      </c>
      <c r="R308">
        <v>15.1839344444</v>
      </c>
      <c r="S308">
        <v>15.1839344444</v>
      </c>
      <c r="T308">
        <v>118.498</v>
      </c>
      <c r="U308">
        <f t="shared" si="13"/>
        <v>2261.0305858836</v>
      </c>
    </row>
    <row r="309" spans="1:21" x14ac:dyDescent="0.25">
      <c r="A309" t="s">
        <v>27</v>
      </c>
      <c r="B309" t="str">
        <f t="shared" si="17"/>
        <v>44555601</v>
      </c>
      <c r="C309" t="s">
        <v>191</v>
      </c>
      <c r="D309">
        <v>13430</v>
      </c>
      <c r="E309" t="s">
        <v>341</v>
      </c>
      <c r="F309">
        <v>287</v>
      </c>
      <c r="G309">
        <v>3454.9028280573002</v>
      </c>
      <c r="H309">
        <v>2792.0270125984998</v>
      </c>
      <c r="I309">
        <v>0</v>
      </c>
      <c r="J309">
        <v>0</v>
      </c>
      <c r="K309">
        <v>0</v>
      </c>
      <c r="L309">
        <v>5</v>
      </c>
      <c r="M309">
        <v>0</v>
      </c>
      <c r="N309">
        <v>306.75099999999998</v>
      </c>
      <c r="O309">
        <v>276.07600000000002</v>
      </c>
      <c r="P309">
        <v>0</v>
      </c>
      <c r="R309">
        <v>0</v>
      </c>
      <c r="S309">
        <v>0</v>
      </c>
      <c r="T309">
        <v>0</v>
      </c>
      <c r="U309">
        <f t="shared" si="13"/>
        <v>3068.1030125984998</v>
      </c>
    </row>
    <row r="310" spans="1:21" x14ac:dyDescent="0.25">
      <c r="A310" t="s">
        <v>27</v>
      </c>
      <c r="B310" t="str">
        <f t="shared" si="17"/>
        <v>44555601</v>
      </c>
      <c r="C310" t="s">
        <v>191</v>
      </c>
      <c r="D310">
        <v>13440</v>
      </c>
      <c r="E310" t="s">
        <v>340</v>
      </c>
      <c r="F310">
        <v>420</v>
      </c>
      <c r="G310">
        <v>5489.3462963535003</v>
      </c>
      <c r="H310">
        <v>5709.5165512973999</v>
      </c>
      <c r="I310">
        <v>0</v>
      </c>
      <c r="J310">
        <v>0</v>
      </c>
      <c r="K310">
        <v>0</v>
      </c>
      <c r="L310">
        <v>5</v>
      </c>
      <c r="M310">
        <v>1.4</v>
      </c>
      <c r="N310">
        <v>496.464</v>
      </c>
      <c r="O310">
        <v>655.48900000000003</v>
      </c>
      <c r="P310">
        <v>0</v>
      </c>
      <c r="Q310">
        <v>0</v>
      </c>
      <c r="R310">
        <v>27.637700869700002</v>
      </c>
      <c r="S310">
        <v>27.637700869700002</v>
      </c>
      <c r="T310">
        <v>154.21100000000001</v>
      </c>
      <c r="U310">
        <f t="shared" si="13"/>
        <v>6546.8542521670997</v>
      </c>
    </row>
    <row r="311" spans="1:21" x14ac:dyDescent="0.25">
      <c r="A311" t="s">
        <v>27</v>
      </c>
      <c r="B311" t="str">
        <f t="shared" si="17"/>
        <v>44555601</v>
      </c>
      <c r="C311" t="s">
        <v>191</v>
      </c>
      <c r="D311">
        <v>13450</v>
      </c>
      <c r="E311" t="s">
        <v>434</v>
      </c>
      <c r="F311">
        <v>11</v>
      </c>
      <c r="G311">
        <v>35.644087382217002</v>
      </c>
      <c r="H311">
        <v>32.317706594138002</v>
      </c>
      <c r="I311">
        <v>0</v>
      </c>
      <c r="J311">
        <v>0</v>
      </c>
      <c r="K311">
        <v>0</v>
      </c>
      <c r="L311">
        <v>5</v>
      </c>
      <c r="M311">
        <v>0</v>
      </c>
      <c r="N311">
        <v>5.6592000000000002</v>
      </c>
      <c r="O311">
        <v>5.09328</v>
      </c>
      <c r="P311">
        <v>0</v>
      </c>
      <c r="Q311">
        <v>0</v>
      </c>
      <c r="R311">
        <v>4.6202843399000004</v>
      </c>
      <c r="S311">
        <v>4.6202843399000004</v>
      </c>
      <c r="T311">
        <v>12.135</v>
      </c>
      <c r="U311">
        <f t="shared" si="13"/>
        <v>54.166270934038003</v>
      </c>
    </row>
    <row r="312" spans="1:21" x14ac:dyDescent="0.25">
      <c r="A312" t="s">
        <v>27</v>
      </c>
      <c r="B312" t="str">
        <f t="shared" si="17"/>
        <v>44555601</v>
      </c>
      <c r="C312" t="s">
        <v>191</v>
      </c>
      <c r="D312">
        <v>13510</v>
      </c>
      <c r="E312" t="s">
        <v>435</v>
      </c>
      <c r="F312">
        <v>148</v>
      </c>
      <c r="G312">
        <v>1694.0528535491001</v>
      </c>
      <c r="H312">
        <v>1189.8301024328</v>
      </c>
      <c r="I312">
        <v>0</v>
      </c>
      <c r="J312">
        <v>0</v>
      </c>
      <c r="K312">
        <v>0</v>
      </c>
      <c r="L312">
        <v>5</v>
      </c>
      <c r="M312">
        <v>0</v>
      </c>
      <c r="N312">
        <v>54.917099999999998</v>
      </c>
      <c r="O312">
        <v>49.425400000000003</v>
      </c>
      <c r="P312">
        <v>0</v>
      </c>
      <c r="Q312">
        <v>0</v>
      </c>
      <c r="R312">
        <v>11.5297095573</v>
      </c>
      <c r="S312">
        <v>11.5297095573</v>
      </c>
      <c r="T312">
        <v>15.071899999999999</v>
      </c>
      <c r="U312">
        <f t="shared" si="13"/>
        <v>1265.8571119901001</v>
      </c>
    </row>
    <row r="313" spans="1:21" x14ac:dyDescent="0.25">
      <c r="A313" t="s">
        <v>27</v>
      </c>
      <c r="B313" t="str">
        <f t="shared" si="17"/>
        <v>44555601</v>
      </c>
      <c r="C313" t="s">
        <v>191</v>
      </c>
      <c r="D313">
        <v>13520</v>
      </c>
      <c r="E313" t="s">
        <v>302</v>
      </c>
      <c r="F313">
        <v>144</v>
      </c>
      <c r="G313">
        <v>1653.5553615265001</v>
      </c>
      <c r="H313">
        <v>1628.0290316580999</v>
      </c>
      <c r="I313">
        <v>0</v>
      </c>
      <c r="J313">
        <v>0</v>
      </c>
      <c r="K313">
        <v>0</v>
      </c>
      <c r="L313">
        <v>5</v>
      </c>
      <c r="M313">
        <v>0</v>
      </c>
      <c r="N313">
        <v>313.7</v>
      </c>
      <c r="O313">
        <v>282.33</v>
      </c>
      <c r="P313">
        <v>10</v>
      </c>
      <c r="Q313">
        <v>7.5</v>
      </c>
      <c r="R313">
        <v>102.6963201012</v>
      </c>
      <c r="S313">
        <v>110.1963201012</v>
      </c>
      <c r="T313">
        <v>1206.9100000000001</v>
      </c>
      <c r="U313">
        <f t="shared" si="13"/>
        <v>3227.4653517592997</v>
      </c>
    </row>
    <row r="314" spans="1:21" x14ac:dyDescent="0.25">
      <c r="A314" t="s">
        <v>27</v>
      </c>
      <c r="B314" t="str">
        <f t="shared" si="17"/>
        <v>44555601</v>
      </c>
      <c r="C314" t="s">
        <v>191</v>
      </c>
      <c r="D314">
        <v>13530</v>
      </c>
      <c r="E314" t="s">
        <v>436</v>
      </c>
      <c r="F314">
        <v>57</v>
      </c>
      <c r="G314">
        <v>970.12031079033</v>
      </c>
      <c r="H314">
        <v>727.26034305264</v>
      </c>
      <c r="I314">
        <v>0</v>
      </c>
      <c r="J314">
        <v>0</v>
      </c>
      <c r="K314">
        <v>0</v>
      </c>
      <c r="L314">
        <v>5</v>
      </c>
      <c r="M314">
        <v>0</v>
      </c>
      <c r="N314">
        <v>43.108199999999997</v>
      </c>
      <c r="O314">
        <v>38.797400000000003</v>
      </c>
      <c r="P314">
        <v>0</v>
      </c>
      <c r="R314">
        <v>0</v>
      </c>
      <c r="S314">
        <v>0</v>
      </c>
      <c r="T314">
        <v>0</v>
      </c>
      <c r="U314">
        <f t="shared" si="13"/>
        <v>766.05774305264003</v>
      </c>
    </row>
    <row r="315" spans="1:21" x14ac:dyDescent="0.25">
      <c r="A315" t="s">
        <v>27</v>
      </c>
      <c r="B315" t="str">
        <f t="shared" si="17"/>
        <v>44555601</v>
      </c>
      <c r="C315" t="s">
        <v>191</v>
      </c>
      <c r="D315">
        <v>13610</v>
      </c>
      <c r="E315" t="s">
        <v>427</v>
      </c>
      <c r="F315">
        <v>2</v>
      </c>
      <c r="G315">
        <v>6.6670000553130997</v>
      </c>
      <c r="H315">
        <v>5.8719999790191997</v>
      </c>
      <c r="I315">
        <v>0</v>
      </c>
      <c r="J315">
        <v>0</v>
      </c>
      <c r="K315">
        <v>0</v>
      </c>
      <c r="L315">
        <v>5</v>
      </c>
      <c r="M315">
        <v>0</v>
      </c>
      <c r="N315">
        <v>0</v>
      </c>
      <c r="O315">
        <v>0</v>
      </c>
      <c r="P315">
        <v>0</v>
      </c>
      <c r="R315">
        <v>0</v>
      </c>
      <c r="S315">
        <v>0</v>
      </c>
      <c r="T315">
        <v>0</v>
      </c>
      <c r="U315">
        <f t="shared" si="13"/>
        <v>5.8719999790191997</v>
      </c>
    </row>
    <row r="316" spans="1:21" x14ac:dyDescent="0.25">
      <c r="A316" t="s">
        <v>27</v>
      </c>
      <c r="B316" t="str">
        <f t="shared" si="17"/>
        <v>44555601</v>
      </c>
      <c r="C316" t="s">
        <v>191</v>
      </c>
      <c r="D316">
        <v>13620</v>
      </c>
      <c r="E316" t="s">
        <v>437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5</v>
      </c>
      <c r="M316">
        <v>0</v>
      </c>
      <c r="N316">
        <v>0</v>
      </c>
      <c r="O316">
        <v>0</v>
      </c>
      <c r="P316">
        <v>0</v>
      </c>
      <c r="R316">
        <v>0</v>
      </c>
      <c r="S316">
        <v>0</v>
      </c>
      <c r="T316">
        <v>0</v>
      </c>
      <c r="U316">
        <f t="shared" si="13"/>
        <v>0</v>
      </c>
    </row>
    <row r="317" spans="1:21" x14ac:dyDescent="0.25">
      <c r="A317" t="s">
        <v>27</v>
      </c>
      <c r="B317" t="str">
        <f t="shared" si="17"/>
        <v>44555601</v>
      </c>
      <c r="C317" t="s">
        <v>191</v>
      </c>
      <c r="D317">
        <v>13630</v>
      </c>
      <c r="E317" t="s">
        <v>438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5</v>
      </c>
      <c r="M317">
        <v>0</v>
      </c>
      <c r="N317">
        <v>0</v>
      </c>
      <c r="O317">
        <v>0</v>
      </c>
      <c r="P317">
        <v>0</v>
      </c>
      <c r="R317">
        <v>0</v>
      </c>
      <c r="S317">
        <v>0</v>
      </c>
      <c r="T317">
        <v>0</v>
      </c>
      <c r="U317">
        <f t="shared" si="13"/>
        <v>0</v>
      </c>
    </row>
    <row r="318" spans="1:21" x14ac:dyDescent="0.25">
      <c r="A318" t="s">
        <v>27</v>
      </c>
      <c r="B318" t="str">
        <f t="shared" si="17"/>
        <v>44555601</v>
      </c>
      <c r="C318" t="s">
        <v>191</v>
      </c>
      <c r="D318">
        <v>13640</v>
      </c>
      <c r="E318" t="s">
        <v>439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5</v>
      </c>
      <c r="M318">
        <v>0</v>
      </c>
      <c r="N318">
        <v>0</v>
      </c>
      <c r="O318">
        <v>0</v>
      </c>
      <c r="P318">
        <v>0</v>
      </c>
      <c r="R318">
        <v>0</v>
      </c>
      <c r="S318">
        <v>0</v>
      </c>
      <c r="T318">
        <v>0</v>
      </c>
      <c r="U318">
        <f t="shared" si="13"/>
        <v>0</v>
      </c>
    </row>
    <row r="319" spans="1:21" x14ac:dyDescent="0.25">
      <c r="A319" t="s">
        <v>27</v>
      </c>
      <c r="B319" t="str">
        <f t="shared" si="17"/>
        <v>44555601</v>
      </c>
      <c r="C319" t="s">
        <v>191</v>
      </c>
      <c r="D319">
        <v>13650</v>
      </c>
      <c r="E319" t="s">
        <v>440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5</v>
      </c>
      <c r="M319">
        <v>0</v>
      </c>
      <c r="N319">
        <v>0</v>
      </c>
      <c r="O319">
        <v>0</v>
      </c>
      <c r="P319">
        <v>0</v>
      </c>
      <c r="R319">
        <v>0</v>
      </c>
      <c r="S319">
        <v>0</v>
      </c>
      <c r="T319">
        <v>0</v>
      </c>
      <c r="U319">
        <f t="shared" si="13"/>
        <v>0</v>
      </c>
    </row>
    <row r="320" spans="1:21" x14ac:dyDescent="0.25">
      <c r="A320" t="s">
        <v>27</v>
      </c>
      <c r="B320" t="str">
        <f t="shared" si="17"/>
        <v>44555601</v>
      </c>
      <c r="C320" t="s">
        <v>191</v>
      </c>
      <c r="D320">
        <v>13660</v>
      </c>
      <c r="E320" t="s">
        <v>441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5</v>
      </c>
      <c r="M320">
        <v>0</v>
      </c>
      <c r="N320">
        <v>0</v>
      </c>
      <c r="O320">
        <v>0</v>
      </c>
      <c r="P320">
        <v>0</v>
      </c>
      <c r="R320">
        <v>0</v>
      </c>
      <c r="S320">
        <v>0</v>
      </c>
      <c r="T320">
        <v>0</v>
      </c>
      <c r="U320">
        <f t="shared" si="13"/>
        <v>0</v>
      </c>
    </row>
    <row r="321" spans="1:21" x14ac:dyDescent="0.25">
      <c r="A321" t="s">
        <v>27</v>
      </c>
      <c r="B321" t="str">
        <f t="shared" si="17"/>
        <v>44555601</v>
      </c>
      <c r="C321" t="s">
        <v>191</v>
      </c>
      <c r="D321">
        <v>13680</v>
      </c>
      <c r="E321" t="s">
        <v>442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5</v>
      </c>
      <c r="M321">
        <v>0</v>
      </c>
      <c r="N321">
        <v>0</v>
      </c>
      <c r="O321">
        <v>0</v>
      </c>
      <c r="P321">
        <v>0</v>
      </c>
      <c r="R321">
        <v>0</v>
      </c>
      <c r="S321">
        <v>0</v>
      </c>
      <c r="T321">
        <v>0</v>
      </c>
      <c r="U321">
        <f t="shared" si="13"/>
        <v>0</v>
      </c>
    </row>
    <row r="322" spans="1:21" x14ac:dyDescent="0.25">
      <c r="A322" t="s">
        <v>27</v>
      </c>
      <c r="B322" t="str">
        <f t="shared" si="17"/>
        <v>44555601</v>
      </c>
      <c r="C322" t="s">
        <v>191</v>
      </c>
      <c r="D322">
        <v>13690</v>
      </c>
      <c r="E322" t="s">
        <v>443</v>
      </c>
      <c r="F322">
        <v>3</v>
      </c>
      <c r="G322">
        <v>29.208999991416999</v>
      </c>
      <c r="H322">
        <v>23.356000423430999</v>
      </c>
      <c r="I322">
        <v>0</v>
      </c>
      <c r="J322">
        <v>0</v>
      </c>
      <c r="K322">
        <v>0</v>
      </c>
      <c r="L322">
        <v>5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12.579774180099999</v>
      </c>
      <c r="S322">
        <v>12.579774180099999</v>
      </c>
      <c r="T322">
        <v>10.731</v>
      </c>
      <c r="U322">
        <f t="shared" si="13"/>
        <v>46.666774603531003</v>
      </c>
    </row>
    <row r="323" spans="1:21" x14ac:dyDescent="0.25">
      <c r="A323" t="s">
        <v>27</v>
      </c>
      <c r="B323" t="str">
        <f t="shared" si="17"/>
        <v>44555601</v>
      </c>
      <c r="C323" t="s">
        <v>191</v>
      </c>
      <c r="D323">
        <v>13810</v>
      </c>
      <c r="E323" t="s">
        <v>297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5</v>
      </c>
      <c r="M323">
        <v>0</v>
      </c>
      <c r="N323">
        <v>1.2978000000000001</v>
      </c>
      <c r="O323">
        <v>1.1680200000000001</v>
      </c>
      <c r="P323">
        <v>0</v>
      </c>
      <c r="Q323">
        <v>0</v>
      </c>
      <c r="R323">
        <v>18.796156746499999</v>
      </c>
      <c r="S323">
        <v>18.796156746499999</v>
      </c>
      <c r="T323">
        <v>42.586199999999998</v>
      </c>
      <c r="U323">
        <f t="shared" si="13"/>
        <v>62.550376746499992</v>
      </c>
    </row>
    <row r="324" spans="1:21" x14ac:dyDescent="0.25">
      <c r="A324" t="s">
        <v>27</v>
      </c>
      <c r="B324" t="str">
        <f t="shared" si="17"/>
        <v>44555601</v>
      </c>
      <c r="C324" t="s">
        <v>191</v>
      </c>
      <c r="D324">
        <v>13830</v>
      </c>
      <c r="E324" t="s">
        <v>444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5</v>
      </c>
      <c r="M324">
        <v>0</v>
      </c>
      <c r="N324">
        <v>0</v>
      </c>
      <c r="O324">
        <v>0</v>
      </c>
      <c r="P324">
        <v>0</v>
      </c>
      <c r="R324">
        <v>0</v>
      </c>
      <c r="S324">
        <v>0</v>
      </c>
      <c r="T324">
        <v>0</v>
      </c>
      <c r="U324">
        <f t="shared" ref="U324:U387" si="18">H324+K324+O324+S324+T324</f>
        <v>0</v>
      </c>
    </row>
    <row r="325" spans="1:21" x14ac:dyDescent="0.25">
      <c r="A325" t="s">
        <v>27</v>
      </c>
      <c r="B325" t="str">
        <f t="shared" ref="B325:B356" si="19">"00216208"</f>
        <v>00216208</v>
      </c>
      <c r="C325" t="s">
        <v>192</v>
      </c>
      <c r="D325">
        <v>11110</v>
      </c>
      <c r="E325" t="s">
        <v>445</v>
      </c>
      <c r="F325">
        <v>3674</v>
      </c>
      <c r="G325">
        <v>43180.521945640998</v>
      </c>
      <c r="H325">
        <v>39539.577954979999</v>
      </c>
      <c r="I325">
        <v>0</v>
      </c>
      <c r="J325">
        <v>0</v>
      </c>
      <c r="K325">
        <v>0</v>
      </c>
      <c r="L325">
        <v>135.4</v>
      </c>
      <c r="M325">
        <v>1.24</v>
      </c>
      <c r="N325">
        <v>6876.27</v>
      </c>
      <c r="O325">
        <v>6451.98</v>
      </c>
      <c r="P325">
        <v>10</v>
      </c>
      <c r="Q325">
        <v>6.4285712242126003</v>
      </c>
      <c r="R325">
        <v>1729.1204129255</v>
      </c>
      <c r="S325">
        <v>1735.5489841496999</v>
      </c>
      <c r="T325">
        <v>4984.7700000000004</v>
      </c>
      <c r="U325">
        <f t="shared" si="18"/>
        <v>52711.876939129696</v>
      </c>
    </row>
    <row r="326" spans="1:21" x14ac:dyDescent="0.25">
      <c r="A326" t="s">
        <v>27</v>
      </c>
      <c r="B326" t="str">
        <f t="shared" si="19"/>
        <v>00216208</v>
      </c>
      <c r="C326" t="s">
        <v>192</v>
      </c>
      <c r="D326">
        <v>11120</v>
      </c>
      <c r="E326" t="s">
        <v>446</v>
      </c>
      <c r="F326">
        <v>1610</v>
      </c>
      <c r="G326">
        <v>21660.630317697</v>
      </c>
      <c r="H326">
        <v>19651.449383605999</v>
      </c>
      <c r="I326">
        <v>0</v>
      </c>
      <c r="J326">
        <v>0</v>
      </c>
      <c r="K326">
        <v>0</v>
      </c>
      <c r="L326">
        <v>135.4</v>
      </c>
      <c r="M326">
        <v>1.05</v>
      </c>
      <c r="N326">
        <v>3702.39</v>
      </c>
      <c r="O326">
        <v>3555.14</v>
      </c>
      <c r="P326">
        <v>0</v>
      </c>
      <c r="Q326">
        <v>0</v>
      </c>
      <c r="R326">
        <v>380.4174115157</v>
      </c>
      <c r="S326">
        <v>380.4174115157</v>
      </c>
      <c r="T326">
        <v>1123.3599999999999</v>
      </c>
      <c r="U326">
        <f t="shared" si="18"/>
        <v>24710.366795121699</v>
      </c>
    </row>
    <row r="327" spans="1:21" x14ac:dyDescent="0.25">
      <c r="A327" t="s">
        <v>27</v>
      </c>
      <c r="B327" t="str">
        <f t="shared" si="19"/>
        <v>00216208</v>
      </c>
      <c r="C327" t="s">
        <v>192</v>
      </c>
      <c r="D327">
        <v>11130</v>
      </c>
      <c r="E327" t="s">
        <v>447</v>
      </c>
      <c r="F327">
        <v>1774</v>
      </c>
      <c r="G327">
        <v>17022.098376479</v>
      </c>
      <c r="H327">
        <v>15206.531625584999</v>
      </c>
      <c r="I327">
        <v>0</v>
      </c>
      <c r="J327">
        <v>0</v>
      </c>
      <c r="K327">
        <v>0</v>
      </c>
      <c r="L327">
        <v>135.4</v>
      </c>
      <c r="M327">
        <v>0.3</v>
      </c>
      <c r="N327">
        <v>3652.53</v>
      </c>
      <c r="O327">
        <v>3350.99</v>
      </c>
      <c r="P327">
        <v>0</v>
      </c>
      <c r="Q327">
        <v>0</v>
      </c>
      <c r="R327">
        <v>1321.3173160495001</v>
      </c>
      <c r="S327">
        <v>1321.3173160495001</v>
      </c>
      <c r="T327">
        <v>3609.91</v>
      </c>
      <c r="U327">
        <f t="shared" si="18"/>
        <v>23488.748941634498</v>
      </c>
    </row>
    <row r="328" spans="1:21" x14ac:dyDescent="0.25">
      <c r="A328" t="s">
        <v>27</v>
      </c>
      <c r="B328" t="str">
        <f t="shared" si="19"/>
        <v>00216208</v>
      </c>
      <c r="C328" t="s">
        <v>192</v>
      </c>
      <c r="D328">
        <v>11140</v>
      </c>
      <c r="E328" t="s">
        <v>448</v>
      </c>
      <c r="F328">
        <v>882</v>
      </c>
      <c r="G328">
        <v>10878.910503221001</v>
      </c>
      <c r="H328">
        <v>9701.3308202054995</v>
      </c>
      <c r="I328">
        <v>0</v>
      </c>
      <c r="J328">
        <v>0</v>
      </c>
      <c r="K328">
        <v>0</v>
      </c>
      <c r="L328">
        <v>135.4</v>
      </c>
      <c r="M328">
        <v>1.3</v>
      </c>
      <c r="N328">
        <v>1276.9100000000001</v>
      </c>
      <c r="O328">
        <v>1425.3</v>
      </c>
      <c r="P328">
        <v>0</v>
      </c>
      <c r="Q328">
        <v>0</v>
      </c>
      <c r="R328">
        <v>224.12579307140001</v>
      </c>
      <c r="S328">
        <v>224.12579307140001</v>
      </c>
      <c r="T328">
        <v>974.24800000000005</v>
      </c>
      <c r="U328">
        <f t="shared" si="18"/>
        <v>12325.004613276898</v>
      </c>
    </row>
    <row r="329" spans="1:21" x14ac:dyDescent="0.25">
      <c r="A329" t="s">
        <v>27</v>
      </c>
      <c r="B329" t="str">
        <f t="shared" si="19"/>
        <v>00216208</v>
      </c>
      <c r="C329" t="s">
        <v>192</v>
      </c>
      <c r="D329">
        <v>11150</v>
      </c>
      <c r="E329" t="s">
        <v>449</v>
      </c>
      <c r="F329">
        <v>1322</v>
      </c>
      <c r="G329">
        <v>12728.90223256</v>
      </c>
      <c r="H329">
        <v>11680.235954755</v>
      </c>
      <c r="I329">
        <v>0</v>
      </c>
      <c r="J329">
        <v>0</v>
      </c>
      <c r="K329">
        <v>0</v>
      </c>
      <c r="L329">
        <v>135.4</v>
      </c>
      <c r="M329">
        <v>0</v>
      </c>
      <c r="N329">
        <v>1728.42</v>
      </c>
      <c r="O329">
        <v>1555.58</v>
      </c>
      <c r="P329">
        <v>20</v>
      </c>
      <c r="Q329">
        <v>5</v>
      </c>
      <c r="R329">
        <v>153.39344008559999</v>
      </c>
      <c r="S329">
        <v>158.39344008559999</v>
      </c>
      <c r="T329">
        <v>598.04300000000001</v>
      </c>
      <c r="U329">
        <f t="shared" si="18"/>
        <v>13992.2523948406</v>
      </c>
    </row>
    <row r="330" spans="1:21" x14ac:dyDescent="0.25">
      <c r="A330" t="s">
        <v>27</v>
      </c>
      <c r="B330" t="str">
        <f t="shared" si="19"/>
        <v>00216208</v>
      </c>
      <c r="C330" t="s">
        <v>192</v>
      </c>
      <c r="D330">
        <v>11160</v>
      </c>
      <c r="E330" t="s">
        <v>450</v>
      </c>
      <c r="F330">
        <v>769</v>
      </c>
      <c r="G330">
        <v>22622.517735992998</v>
      </c>
      <c r="H330">
        <v>22214.762313368999</v>
      </c>
      <c r="I330">
        <v>0</v>
      </c>
      <c r="J330">
        <v>0</v>
      </c>
      <c r="K330">
        <v>0</v>
      </c>
      <c r="L330">
        <v>135.4</v>
      </c>
      <c r="M330">
        <v>1.95</v>
      </c>
      <c r="N330">
        <v>1895.21</v>
      </c>
      <c r="O330">
        <v>2119.8000000000002</v>
      </c>
      <c r="P330">
        <v>30</v>
      </c>
      <c r="Q330">
        <v>30</v>
      </c>
      <c r="R330">
        <v>77.431765278699999</v>
      </c>
      <c r="S330">
        <v>107.4317652787</v>
      </c>
      <c r="T330">
        <v>452.39299999999997</v>
      </c>
      <c r="U330">
        <f t="shared" si="18"/>
        <v>24894.387078647698</v>
      </c>
    </row>
    <row r="331" spans="1:21" x14ac:dyDescent="0.25">
      <c r="A331" t="s">
        <v>27</v>
      </c>
      <c r="B331" t="str">
        <f t="shared" si="19"/>
        <v>00216208</v>
      </c>
      <c r="C331" t="s">
        <v>192</v>
      </c>
      <c r="D331">
        <v>11210</v>
      </c>
      <c r="E331" t="s">
        <v>337</v>
      </c>
      <c r="F331">
        <v>4103</v>
      </c>
      <c r="G331">
        <v>49054.244350679997</v>
      </c>
      <c r="H331">
        <v>40747.348517478</v>
      </c>
      <c r="I331">
        <v>0</v>
      </c>
      <c r="J331">
        <v>0</v>
      </c>
      <c r="K331">
        <v>0</v>
      </c>
      <c r="L331">
        <v>135.4</v>
      </c>
      <c r="M331">
        <v>7</v>
      </c>
      <c r="N331">
        <v>5209.25</v>
      </c>
      <c r="O331">
        <v>6174.89</v>
      </c>
      <c r="P331">
        <v>0</v>
      </c>
      <c r="Q331">
        <v>0</v>
      </c>
      <c r="R331">
        <v>122.5005388854</v>
      </c>
      <c r="S331">
        <v>122.5005388854</v>
      </c>
      <c r="T331">
        <v>922.17700000000002</v>
      </c>
      <c r="U331">
        <f t="shared" si="18"/>
        <v>47966.9160563634</v>
      </c>
    </row>
    <row r="332" spans="1:21" x14ac:dyDescent="0.25">
      <c r="A332" t="s">
        <v>27</v>
      </c>
      <c r="B332" t="str">
        <f t="shared" si="19"/>
        <v>00216208</v>
      </c>
      <c r="C332" t="s">
        <v>192</v>
      </c>
      <c r="D332">
        <v>11220</v>
      </c>
      <c r="E332" t="s">
        <v>354</v>
      </c>
      <c r="F332">
        <v>1425</v>
      </c>
      <c r="G332">
        <v>11978.588901929999</v>
      </c>
      <c r="H332">
        <v>9221.1339330430001</v>
      </c>
      <c r="I332">
        <v>0</v>
      </c>
      <c r="J332">
        <v>0</v>
      </c>
      <c r="K332">
        <v>0</v>
      </c>
      <c r="L332">
        <v>135.4</v>
      </c>
      <c r="M332">
        <v>3</v>
      </c>
      <c r="N332">
        <v>1482.35</v>
      </c>
      <c r="O332">
        <v>1971.21</v>
      </c>
      <c r="P332">
        <v>0</v>
      </c>
      <c r="Q332">
        <v>0</v>
      </c>
      <c r="R332">
        <v>49.815065701400002</v>
      </c>
      <c r="S332">
        <v>49.815065701400002</v>
      </c>
      <c r="T332">
        <v>171.25200000000001</v>
      </c>
      <c r="U332">
        <f t="shared" si="18"/>
        <v>11413.410998744401</v>
      </c>
    </row>
    <row r="333" spans="1:21" x14ac:dyDescent="0.25">
      <c r="A333" t="s">
        <v>27</v>
      </c>
      <c r="B333" t="str">
        <f t="shared" si="19"/>
        <v>00216208</v>
      </c>
      <c r="C333" t="s">
        <v>192</v>
      </c>
      <c r="D333">
        <v>11230</v>
      </c>
      <c r="E333" t="s">
        <v>451</v>
      </c>
      <c r="F333">
        <v>1477</v>
      </c>
      <c r="G333">
        <v>21941.235717486001</v>
      </c>
      <c r="H333">
        <v>17803.975544255001</v>
      </c>
      <c r="I333">
        <v>0</v>
      </c>
      <c r="J333">
        <v>0</v>
      </c>
      <c r="K333">
        <v>0</v>
      </c>
      <c r="L333">
        <v>135.4</v>
      </c>
      <c r="M333">
        <v>1.17</v>
      </c>
      <c r="N333">
        <v>1948.85</v>
      </c>
      <c r="O333">
        <v>2002.43</v>
      </c>
      <c r="P333">
        <v>0</v>
      </c>
      <c r="Q333">
        <v>0</v>
      </c>
      <c r="R333">
        <v>108.95470525250001</v>
      </c>
      <c r="S333">
        <v>108.95470525250001</v>
      </c>
      <c r="T333">
        <v>388.63200000000001</v>
      </c>
      <c r="U333">
        <f t="shared" si="18"/>
        <v>20303.992249507504</v>
      </c>
    </row>
    <row r="334" spans="1:21" x14ac:dyDescent="0.25">
      <c r="A334" t="s">
        <v>27</v>
      </c>
      <c r="B334" t="str">
        <f t="shared" si="19"/>
        <v>00216208</v>
      </c>
      <c r="C334" t="s">
        <v>192</v>
      </c>
      <c r="D334">
        <v>11240</v>
      </c>
      <c r="E334" t="s">
        <v>452</v>
      </c>
      <c r="F334">
        <v>840</v>
      </c>
      <c r="G334">
        <v>11446.884199209</v>
      </c>
      <c r="H334">
        <v>9076.0788657041994</v>
      </c>
      <c r="I334">
        <v>0</v>
      </c>
      <c r="J334">
        <v>0</v>
      </c>
      <c r="K334">
        <v>0</v>
      </c>
      <c r="L334">
        <v>135.4</v>
      </c>
      <c r="M334">
        <v>0</v>
      </c>
      <c r="N334">
        <v>1215.6099999999999</v>
      </c>
      <c r="O334">
        <v>1094.05</v>
      </c>
      <c r="P334">
        <v>0</v>
      </c>
      <c r="Q334">
        <v>0</v>
      </c>
      <c r="R334">
        <v>53.679303513000001</v>
      </c>
      <c r="S334">
        <v>53.679303513000001</v>
      </c>
      <c r="T334">
        <v>220.114</v>
      </c>
      <c r="U334">
        <f t="shared" si="18"/>
        <v>10443.922169217198</v>
      </c>
    </row>
    <row r="335" spans="1:21" x14ac:dyDescent="0.25">
      <c r="A335" t="s">
        <v>27</v>
      </c>
      <c r="B335" t="str">
        <f t="shared" si="19"/>
        <v>00216208</v>
      </c>
      <c r="C335" t="s">
        <v>192</v>
      </c>
      <c r="D335">
        <v>11260</v>
      </c>
      <c r="E335" t="s">
        <v>453</v>
      </c>
      <c r="F335">
        <v>216</v>
      </c>
      <c r="G335">
        <v>3404.9295916341998</v>
      </c>
      <c r="H335">
        <v>2543.0875679208998</v>
      </c>
      <c r="I335">
        <v>0</v>
      </c>
      <c r="J335">
        <v>0</v>
      </c>
      <c r="K335">
        <v>0</v>
      </c>
      <c r="L335">
        <v>135.4</v>
      </c>
      <c r="M335">
        <v>0</v>
      </c>
      <c r="N335">
        <v>223.09700000000001</v>
      </c>
      <c r="O335">
        <v>200.78700000000001</v>
      </c>
      <c r="P335">
        <v>0</v>
      </c>
      <c r="Q335">
        <v>0</v>
      </c>
      <c r="R335">
        <v>83.984168524400005</v>
      </c>
      <c r="S335">
        <v>83.984168524400005</v>
      </c>
      <c r="T335">
        <v>198.691</v>
      </c>
      <c r="U335">
        <f t="shared" si="18"/>
        <v>3026.5497364452995</v>
      </c>
    </row>
    <row r="336" spans="1:21" x14ac:dyDescent="0.25">
      <c r="A336" t="s">
        <v>27</v>
      </c>
      <c r="B336" t="str">
        <f t="shared" si="19"/>
        <v>00216208</v>
      </c>
      <c r="C336" t="s">
        <v>192</v>
      </c>
      <c r="D336">
        <v>11270</v>
      </c>
      <c r="E336" t="s">
        <v>454</v>
      </c>
      <c r="F336">
        <v>239</v>
      </c>
      <c r="G336">
        <v>2684.9422215702002</v>
      </c>
      <c r="H336">
        <v>2163.549245916</v>
      </c>
      <c r="I336">
        <v>0</v>
      </c>
      <c r="J336">
        <v>0</v>
      </c>
      <c r="K336">
        <v>0</v>
      </c>
      <c r="L336">
        <v>135.4</v>
      </c>
      <c r="M336">
        <v>1</v>
      </c>
      <c r="N336">
        <v>488.108</v>
      </c>
      <c r="O336">
        <v>651.66399999999999</v>
      </c>
      <c r="P336">
        <v>0</v>
      </c>
      <c r="R336">
        <v>0</v>
      </c>
      <c r="S336">
        <v>0</v>
      </c>
      <c r="T336">
        <v>0</v>
      </c>
      <c r="U336">
        <f t="shared" si="18"/>
        <v>2815.2132459160002</v>
      </c>
    </row>
    <row r="337" spans="1:21" x14ac:dyDescent="0.25">
      <c r="A337" t="s">
        <v>27</v>
      </c>
      <c r="B337" t="str">
        <f t="shared" si="19"/>
        <v>00216208</v>
      </c>
      <c r="C337" t="s">
        <v>192</v>
      </c>
      <c r="D337">
        <v>11280</v>
      </c>
      <c r="E337" t="s">
        <v>455</v>
      </c>
      <c r="F337">
        <v>221</v>
      </c>
      <c r="G337">
        <v>1480.1768996773999</v>
      </c>
      <c r="H337">
        <v>1176.0368531413001</v>
      </c>
      <c r="I337">
        <v>0</v>
      </c>
      <c r="J337">
        <v>0</v>
      </c>
      <c r="K337">
        <v>0</v>
      </c>
      <c r="L337">
        <v>135.4</v>
      </c>
      <c r="M337">
        <v>0</v>
      </c>
      <c r="N337">
        <v>187.00700000000001</v>
      </c>
      <c r="O337">
        <v>168.30600000000001</v>
      </c>
      <c r="P337">
        <v>0</v>
      </c>
      <c r="R337">
        <v>0</v>
      </c>
      <c r="S337">
        <v>0</v>
      </c>
      <c r="T337">
        <v>0</v>
      </c>
      <c r="U337">
        <f t="shared" si="18"/>
        <v>1344.3428531413001</v>
      </c>
    </row>
    <row r="338" spans="1:21" x14ac:dyDescent="0.25">
      <c r="A338" t="s">
        <v>27</v>
      </c>
      <c r="B338" t="str">
        <f t="shared" si="19"/>
        <v>00216208</v>
      </c>
      <c r="C338" t="s">
        <v>192</v>
      </c>
      <c r="D338">
        <v>11310</v>
      </c>
      <c r="E338" t="s">
        <v>340</v>
      </c>
      <c r="F338">
        <v>4477</v>
      </c>
      <c r="G338">
        <v>103374.32490192</v>
      </c>
      <c r="H338">
        <v>103745.60783307</v>
      </c>
      <c r="I338">
        <v>1</v>
      </c>
      <c r="J338">
        <v>1</v>
      </c>
      <c r="K338">
        <v>2000</v>
      </c>
      <c r="L338">
        <v>135.4</v>
      </c>
      <c r="M338">
        <v>4.04</v>
      </c>
      <c r="N338">
        <v>14707.5</v>
      </c>
      <c r="O338">
        <v>14094.7</v>
      </c>
      <c r="P338">
        <v>20</v>
      </c>
      <c r="Q338">
        <v>16.666666507721001</v>
      </c>
      <c r="R338">
        <v>481.22361529580002</v>
      </c>
      <c r="S338">
        <v>497.89028180349999</v>
      </c>
      <c r="T338">
        <v>3619.11</v>
      </c>
      <c r="U338">
        <f t="shared" si="18"/>
        <v>123957.30811487349</v>
      </c>
    </row>
    <row r="339" spans="1:21" x14ac:dyDescent="0.25">
      <c r="A339" t="s">
        <v>27</v>
      </c>
      <c r="B339" t="str">
        <f t="shared" si="19"/>
        <v>00216208</v>
      </c>
      <c r="C339" t="s">
        <v>192</v>
      </c>
      <c r="D339">
        <v>11320</v>
      </c>
      <c r="E339" t="s">
        <v>456</v>
      </c>
      <c r="F339">
        <v>5722</v>
      </c>
      <c r="G339">
        <v>114912.73710961</v>
      </c>
      <c r="H339">
        <v>131691.75304926001</v>
      </c>
      <c r="I339">
        <v>1</v>
      </c>
      <c r="J339">
        <v>1</v>
      </c>
      <c r="K339">
        <v>2000</v>
      </c>
      <c r="L339">
        <v>135.4</v>
      </c>
      <c r="M339">
        <v>6.99</v>
      </c>
      <c r="N339">
        <v>17711.7</v>
      </c>
      <c r="O339">
        <v>17425</v>
      </c>
      <c r="P339">
        <v>20</v>
      </c>
      <c r="Q339">
        <v>11.666666507721001</v>
      </c>
      <c r="R339">
        <v>273.64684067849998</v>
      </c>
      <c r="S339">
        <v>285.31350718620001</v>
      </c>
      <c r="T339">
        <v>3851.49</v>
      </c>
      <c r="U339">
        <f t="shared" si="18"/>
        <v>155253.55655644619</v>
      </c>
    </row>
    <row r="340" spans="1:21" x14ac:dyDescent="0.25">
      <c r="A340" t="s">
        <v>27</v>
      </c>
      <c r="B340" t="str">
        <f t="shared" si="19"/>
        <v>00216208</v>
      </c>
      <c r="C340" t="s">
        <v>192</v>
      </c>
      <c r="D340">
        <v>11410</v>
      </c>
      <c r="E340" t="s">
        <v>341</v>
      </c>
      <c r="F340">
        <v>1088</v>
      </c>
      <c r="G340">
        <v>11860.226931830999</v>
      </c>
      <c r="H340">
        <v>9196.0128465435992</v>
      </c>
      <c r="I340">
        <v>0</v>
      </c>
      <c r="J340">
        <v>0</v>
      </c>
      <c r="K340">
        <v>0</v>
      </c>
      <c r="L340">
        <v>135.4</v>
      </c>
      <c r="M340">
        <v>0</v>
      </c>
      <c r="N340">
        <v>1228.8699999999999</v>
      </c>
      <c r="O340">
        <v>1105.98</v>
      </c>
      <c r="P340">
        <v>0</v>
      </c>
      <c r="Q340">
        <v>0</v>
      </c>
      <c r="R340">
        <v>26.104606520600001</v>
      </c>
      <c r="S340">
        <v>26.104606520600001</v>
      </c>
      <c r="T340">
        <v>201.63800000000001</v>
      </c>
      <c r="U340">
        <f t="shared" si="18"/>
        <v>10529.735453064199</v>
      </c>
    </row>
    <row r="341" spans="1:21" x14ac:dyDescent="0.25">
      <c r="A341" t="s">
        <v>27</v>
      </c>
      <c r="B341" t="str">
        <f t="shared" si="19"/>
        <v>00216208</v>
      </c>
      <c r="C341" t="s">
        <v>192</v>
      </c>
      <c r="D341">
        <v>11510</v>
      </c>
      <c r="E341" t="s">
        <v>457</v>
      </c>
      <c r="F341">
        <v>435</v>
      </c>
      <c r="G341">
        <v>4288.1643882892004</v>
      </c>
      <c r="H341">
        <v>3463.9182638099001</v>
      </c>
      <c r="I341">
        <v>0</v>
      </c>
      <c r="J341">
        <v>0</v>
      </c>
      <c r="K341">
        <v>0</v>
      </c>
      <c r="L341">
        <v>135.4</v>
      </c>
      <c r="M341">
        <v>0</v>
      </c>
      <c r="N341">
        <v>584.51800000000003</v>
      </c>
      <c r="O341">
        <v>526.06600000000003</v>
      </c>
      <c r="P341">
        <v>0</v>
      </c>
      <c r="Q341">
        <v>0</v>
      </c>
      <c r="R341">
        <v>54.099329361999999</v>
      </c>
      <c r="S341">
        <v>54.099329361999999</v>
      </c>
      <c r="T341">
        <v>164.63499999999999</v>
      </c>
      <c r="U341">
        <f t="shared" si="18"/>
        <v>4208.7185931718996</v>
      </c>
    </row>
    <row r="342" spans="1:21" x14ac:dyDescent="0.25">
      <c r="A342" t="s">
        <v>27</v>
      </c>
      <c r="B342" t="str">
        <f t="shared" si="19"/>
        <v>00216208</v>
      </c>
      <c r="C342" t="s">
        <v>192</v>
      </c>
      <c r="D342">
        <v>11600</v>
      </c>
      <c r="E342" t="s">
        <v>458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135.4</v>
      </c>
      <c r="M342">
        <v>0</v>
      </c>
      <c r="N342">
        <v>0</v>
      </c>
      <c r="O342">
        <v>0</v>
      </c>
      <c r="P342">
        <v>0</v>
      </c>
      <c r="R342">
        <v>0</v>
      </c>
      <c r="S342">
        <v>0</v>
      </c>
      <c r="T342">
        <v>0</v>
      </c>
      <c r="U342">
        <f t="shared" si="18"/>
        <v>0</v>
      </c>
    </row>
    <row r="343" spans="1:21" x14ac:dyDescent="0.25">
      <c r="A343" t="s">
        <v>27</v>
      </c>
      <c r="B343" t="str">
        <f t="shared" si="19"/>
        <v>00216208</v>
      </c>
      <c r="C343" t="s">
        <v>192</v>
      </c>
      <c r="D343">
        <v>11610</v>
      </c>
      <c r="E343" t="s">
        <v>459</v>
      </c>
      <c r="F343">
        <v>90</v>
      </c>
      <c r="G343">
        <v>946.01834979627995</v>
      </c>
      <c r="H343">
        <v>829.25014549187995</v>
      </c>
      <c r="I343">
        <v>0</v>
      </c>
      <c r="J343">
        <v>0</v>
      </c>
      <c r="K343">
        <v>0</v>
      </c>
      <c r="L343">
        <v>135.4</v>
      </c>
      <c r="M343">
        <v>1</v>
      </c>
      <c r="N343">
        <v>203.45500000000001</v>
      </c>
      <c r="O343">
        <v>395.476</v>
      </c>
      <c r="P343">
        <v>0</v>
      </c>
      <c r="R343">
        <v>0</v>
      </c>
      <c r="S343">
        <v>0</v>
      </c>
      <c r="T343">
        <v>0</v>
      </c>
      <c r="U343">
        <f t="shared" si="18"/>
        <v>1224.7261454918798</v>
      </c>
    </row>
    <row r="344" spans="1:21" x14ac:dyDescent="0.25">
      <c r="A344" t="s">
        <v>27</v>
      </c>
      <c r="B344" t="str">
        <f t="shared" si="19"/>
        <v>00216208</v>
      </c>
      <c r="C344" t="s">
        <v>192</v>
      </c>
      <c r="D344">
        <v>11620</v>
      </c>
      <c r="E344" t="s">
        <v>460</v>
      </c>
      <c r="F344">
        <v>121</v>
      </c>
      <c r="G344">
        <v>2644.4455053552001</v>
      </c>
      <c r="H344">
        <v>2394.3343577958999</v>
      </c>
      <c r="I344">
        <v>0</v>
      </c>
      <c r="J344">
        <v>0</v>
      </c>
      <c r="K344">
        <v>0</v>
      </c>
      <c r="L344">
        <v>135.4</v>
      </c>
      <c r="M344">
        <v>0.8</v>
      </c>
      <c r="N344">
        <v>390.577</v>
      </c>
      <c r="O344">
        <v>521.41300000000001</v>
      </c>
      <c r="P344">
        <v>0</v>
      </c>
      <c r="R344">
        <v>0</v>
      </c>
      <c r="S344">
        <v>0</v>
      </c>
      <c r="T344">
        <v>0</v>
      </c>
      <c r="U344">
        <f t="shared" si="18"/>
        <v>2915.7473577958999</v>
      </c>
    </row>
    <row r="345" spans="1:21" x14ac:dyDescent="0.25">
      <c r="A345" t="s">
        <v>27</v>
      </c>
      <c r="B345" t="str">
        <f t="shared" si="19"/>
        <v>00216208</v>
      </c>
      <c r="C345" t="s">
        <v>192</v>
      </c>
      <c r="D345">
        <v>11640</v>
      </c>
      <c r="E345" t="s">
        <v>461</v>
      </c>
      <c r="F345">
        <v>144</v>
      </c>
      <c r="G345">
        <v>2362.1705893092999</v>
      </c>
      <c r="H345">
        <v>1854.8984487953001</v>
      </c>
      <c r="I345">
        <v>0</v>
      </c>
      <c r="J345">
        <v>0</v>
      </c>
      <c r="K345">
        <v>0</v>
      </c>
      <c r="L345">
        <v>135.4</v>
      </c>
      <c r="M345">
        <v>0.66</v>
      </c>
      <c r="N345">
        <v>523.78899999999999</v>
      </c>
      <c r="O345">
        <v>611.572</v>
      </c>
      <c r="P345">
        <v>0</v>
      </c>
      <c r="R345">
        <v>0</v>
      </c>
      <c r="S345">
        <v>0</v>
      </c>
      <c r="T345">
        <v>3.3744100000000001</v>
      </c>
      <c r="U345">
        <f t="shared" si="18"/>
        <v>2469.8448587952998</v>
      </c>
    </row>
    <row r="346" spans="1:21" x14ac:dyDescent="0.25">
      <c r="A346" t="s">
        <v>27</v>
      </c>
      <c r="B346" t="str">
        <f t="shared" si="19"/>
        <v>00216208</v>
      </c>
      <c r="C346" t="s">
        <v>192</v>
      </c>
      <c r="D346">
        <v>11650</v>
      </c>
      <c r="E346" t="s">
        <v>360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135.4</v>
      </c>
      <c r="M346">
        <v>0</v>
      </c>
      <c r="N346">
        <v>2.5038</v>
      </c>
      <c r="O346">
        <v>2.2534200000000002</v>
      </c>
      <c r="P346">
        <v>0</v>
      </c>
      <c r="R346">
        <v>0</v>
      </c>
      <c r="S346">
        <v>0</v>
      </c>
      <c r="T346">
        <v>0</v>
      </c>
      <c r="U346">
        <f t="shared" si="18"/>
        <v>2.2534200000000002</v>
      </c>
    </row>
    <row r="347" spans="1:21" x14ac:dyDescent="0.25">
      <c r="A347" t="s">
        <v>27</v>
      </c>
      <c r="B347" t="str">
        <f t="shared" si="19"/>
        <v>00216208</v>
      </c>
      <c r="C347" t="s">
        <v>192</v>
      </c>
      <c r="D347">
        <v>11660</v>
      </c>
      <c r="E347" t="s">
        <v>462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135.4</v>
      </c>
      <c r="M347">
        <v>0</v>
      </c>
      <c r="N347">
        <v>0</v>
      </c>
      <c r="O347">
        <v>0</v>
      </c>
      <c r="P347">
        <v>0</v>
      </c>
      <c r="R347">
        <v>0</v>
      </c>
      <c r="S347">
        <v>0</v>
      </c>
      <c r="T347">
        <v>0</v>
      </c>
      <c r="U347">
        <f t="shared" si="18"/>
        <v>0</v>
      </c>
    </row>
    <row r="348" spans="1:21" x14ac:dyDescent="0.25">
      <c r="A348" t="s">
        <v>27</v>
      </c>
      <c r="B348" t="str">
        <f t="shared" si="19"/>
        <v>00216208</v>
      </c>
      <c r="C348" t="s">
        <v>192</v>
      </c>
      <c r="D348">
        <v>11670</v>
      </c>
      <c r="E348" t="s">
        <v>463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135.4</v>
      </c>
      <c r="M348">
        <v>0</v>
      </c>
      <c r="N348">
        <v>0</v>
      </c>
      <c r="O348">
        <v>0</v>
      </c>
      <c r="P348">
        <v>0</v>
      </c>
      <c r="R348">
        <v>0</v>
      </c>
      <c r="S348">
        <v>0</v>
      </c>
      <c r="T348">
        <v>0</v>
      </c>
      <c r="U348">
        <f t="shared" si="18"/>
        <v>0</v>
      </c>
    </row>
    <row r="349" spans="1:21" x14ac:dyDescent="0.25">
      <c r="A349" t="s">
        <v>27</v>
      </c>
      <c r="B349" t="str">
        <f t="shared" si="19"/>
        <v>00216208</v>
      </c>
      <c r="C349" t="s">
        <v>192</v>
      </c>
      <c r="D349">
        <v>11680</v>
      </c>
      <c r="E349" t="s">
        <v>328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135.4</v>
      </c>
      <c r="M349">
        <v>0</v>
      </c>
      <c r="N349">
        <v>0</v>
      </c>
      <c r="O349">
        <v>0</v>
      </c>
      <c r="P349">
        <v>0</v>
      </c>
      <c r="R349">
        <v>0</v>
      </c>
      <c r="S349">
        <v>0</v>
      </c>
      <c r="T349">
        <v>0</v>
      </c>
      <c r="U349">
        <f t="shared" si="18"/>
        <v>0</v>
      </c>
    </row>
    <row r="350" spans="1:21" x14ac:dyDescent="0.25">
      <c r="A350" t="s">
        <v>27</v>
      </c>
      <c r="B350" t="str">
        <f t="shared" si="19"/>
        <v>00216208</v>
      </c>
      <c r="C350" t="s">
        <v>192</v>
      </c>
      <c r="D350">
        <v>11690</v>
      </c>
      <c r="E350" t="s">
        <v>464</v>
      </c>
      <c r="F350">
        <v>89</v>
      </c>
      <c r="G350">
        <v>2239.7036332999</v>
      </c>
      <c r="H350">
        <v>2152.7877803239999</v>
      </c>
      <c r="I350">
        <v>0</v>
      </c>
      <c r="J350">
        <v>0</v>
      </c>
      <c r="K350">
        <v>0</v>
      </c>
      <c r="L350">
        <v>135.4</v>
      </c>
      <c r="M350">
        <v>0</v>
      </c>
      <c r="N350">
        <v>188.6</v>
      </c>
      <c r="O350">
        <v>169.74</v>
      </c>
      <c r="P350">
        <v>0</v>
      </c>
      <c r="Q350">
        <v>0</v>
      </c>
      <c r="R350">
        <v>165.11216127500001</v>
      </c>
      <c r="S350">
        <v>165.11216127500001</v>
      </c>
      <c r="T350">
        <v>456.11</v>
      </c>
      <c r="U350">
        <f t="shared" si="18"/>
        <v>2943.7499415989996</v>
      </c>
    </row>
    <row r="351" spans="1:21" x14ac:dyDescent="0.25">
      <c r="A351" t="s">
        <v>27</v>
      </c>
      <c r="B351" t="str">
        <f t="shared" si="19"/>
        <v>00216208</v>
      </c>
      <c r="C351" t="s">
        <v>192</v>
      </c>
      <c r="D351">
        <v>11700</v>
      </c>
      <c r="E351" t="s">
        <v>465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135.4</v>
      </c>
      <c r="M351">
        <v>0</v>
      </c>
      <c r="N351">
        <v>0</v>
      </c>
      <c r="O351">
        <v>0</v>
      </c>
      <c r="P351">
        <v>0</v>
      </c>
      <c r="R351">
        <v>0</v>
      </c>
      <c r="S351">
        <v>0</v>
      </c>
      <c r="T351">
        <v>0</v>
      </c>
      <c r="U351">
        <f t="shared" si="18"/>
        <v>0</v>
      </c>
    </row>
    <row r="352" spans="1:21" x14ac:dyDescent="0.25">
      <c r="A352" t="s">
        <v>27</v>
      </c>
      <c r="B352" t="str">
        <f t="shared" si="19"/>
        <v>00216208</v>
      </c>
      <c r="C352" t="s">
        <v>192</v>
      </c>
      <c r="D352">
        <v>11810</v>
      </c>
      <c r="E352" t="s">
        <v>297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135.4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221.35362246739999</v>
      </c>
      <c r="S352">
        <v>221.35362246739999</v>
      </c>
      <c r="T352">
        <v>21.678000000000001</v>
      </c>
      <c r="U352">
        <f t="shared" si="18"/>
        <v>243.03162246739998</v>
      </c>
    </row>
    <row r="353" spans="1:21" x14ac:dyDescent="0.25">
      <c r="A353" t="s">
        <v>27</v>
      </c>
      <c r="B353" t="str">
        <f t="shared" si="19"/>
        <v>00216208</v>
      </c>
      <c r="C353" t="s">
        <v>192</v>
      </c>
      <c r="D353">
        <v>11830</v>
      </c>
      <c r="E353" t="s">
        <v>466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135.4</v>
      </c>
      <c r="M353">
        <v>0</v>
      </c>
      <c r="N353">
        <v>0</v>
      </c>
      <c r="O353">
        <v>0</v>
      </c>
      <c r="P353">
        <v>0</v>
      </c>
      <c r="R353">
        <v>0</v>
      </c>
      <c r="S353">
        <v>0</v>
      </c>
      <c r="T353">
        <v>0</v>
      </c>
      <c r="U353">
        <f t="shared" si="18"/>
        <v>0</v>
      </c>
    </row>
    <row r="354" spans="1:21" x14ac:dyDescent="0.25">
      <c r="A354" t="s">
        <v>27</v>
      </c>
      <c r="B354" t="str">
        <f t="shared" si="19"/>
        <v>00216208</v>
      </c>
      <c r="C354" t="s">
        <v>192</v>
      </c>
      <c r="D354">
        <v>11840</v>
      </c>
      <c r="E354" t="s">
        <v>467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135.4</v>
      </c>
      <c r="M354">
        <v>0</v>
      </c>
      <c r="N354">
        <v>0</v>
      </c>
      <c r="O354">
        <v>0</v>
      </c>
      <c r="P354">
        <v>0</v>
      </c>
      <c r="R354">
        <v>0</v>
      </c>
      <c r="S354">
        <v>0</v>
      </c>
      <c r="T354">
        <v>0</v>
      </c>
      <c r="U354">
        <f t="shared" si="18"/>
        <v>0</v>
      </c>
    </row>
    <row r="355" spans="1:21" x14ac:dyDescent="0.25">
      <c r="A355" t="s">
        <v>27</v>
      </c>
      <c r="B355" t="str">
        <f t="shared" si="19"/>
        <v>00216208</v>
      </c>
      <c r="C355" t="s">
        <v>192</v>
      </c>
      <c r="D355">
        <v>11850</v>
      </c>
      <c r="E355" t="s">
        <v>468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135.4</v>
      </c>
      <c r="M355">
        <v>0</v>
      </c>
      <c r="N355">
        <v>0</v>
      </c>
      <c r="O355">
        <v>0</v>
      </c>
      <c r="P355">
        <v>0</v>
      </c>
      <c r="R355">
        <v>0</v>
      </c>
      <c r="S355">
        <v>0</v>
      </c>
      <c r="T355">
        <v>0</v>
      </c>
      <c r="U355">
        <f t="shared" si="18"/>
        <v>0</v>
      </c>
    </row>
    <row r="356" spans="1:21" x14ac:dyDescent="0.25">
      <c r="A356" t="s">
        <v>27</v>
      </c>
      <c r="B356" t="str">
        <f t="shared" si="19"/>
        <v>00216208</v>
      </c>
      <c r="C356" t="s">
        <v>192</v>
      </c>
      <c r="D356">
        <v>11860</v>
      </c>
      <c r="E356" t="s">
        <v>469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135.4</v>
      </c>
      <c r="M356">
        <v>0</v>
      </c>
      <c r="N356">
        <v>0</v>
      </c>
      <c r="O356">
        <v>0</v>
      </c>
      <c r="P356">
        <v>0</v>
      </c>
      <c r="R356">
        <v>0</v>
      </c>
      <c r="S356">
        <v>0</v>
      </c>
      <c r="T356">
        <v>0</v>
      </c>
      <c r="U356">
        <f t="shared" si="18"/>
        <v>0</v>
      </c>
    </row>
    <row r="357" spans="1:21" x14ac:dyDescent="0.25">
      <c r="A357" t="s">
        <v>27</v>
      </c>
      <c r="B357" t="str">
        <f t="shared" ref="B357:B368" si="20">"61989592"</f>
        <v>61989592</v>
      </c>
      <c r="C357" t="s">
        <v>193</v>
      </c>
      <c r="D357">
        <v>15110</v>
      </c>
      <c r="E357" t="s">
        <v>353</v>
      </c>
      <c r="F357">
        <v>1542</v>
      </c>
      <c r="G357">
        <v>24869.492048335</v>
      </c>
      <c r="H357">
        <v>23372.031313883999</v>
      </c>
      <c r="I357">
        <v>0</v>
      </c>
      <c r="J357">
        <v>0</v>
      </c>
      <c r="K357">
        <v>0</v>
      </c>
      <c r="L357">
        <v>40.75</v>
      </c>
      <c r="M357">
        <v>0</v>
      </c>
      <c r="N357">
        <v>3301.81</v>
      </c>
      <c r="O357">
        <v>2971.63</v>
      </c>
      <c r="P357">
        <v>180</v>
      </c>
      <c r="Q357">
        <v>63.656414031982003</v>
      </c>
      <c r="R357">
        <v>1151.3118536326001</v>
      </c>
      <c r="S357">
        <v>1214.9682676646</v>
      </c>
      <c r="T357">
        <v>5314.32</v>
      </c>
      <c r="U357">
        <f t="shared" si="18"/>
        <v>32872.949581548601</v>
      </c>
    </row>
    <row r="358" spans="1:21" x14ac:dyDescent="0.25">
      <c r="A358" t="s">
        <v>27</v>
      </c>
      <c r="B358" t="str">
        <f t="shared" si="20"/>
        <v>61989592</v>
      </c>
      <c r="C358" t="s">
        <v>193</v>
      </c>
      <c r="D358">
        <v>15120</v>
      </c>
      <c r="E358" t="s">
        <v>470</v>
      </c>
      <c r="F358">
        <v>76</v>
      </c>
      <c r="G358">
        <v>703.88824783313999</v>
      </c>
      <c r="H358">
        <v>565.73127485940995</v>
      </c>
      <c r="I358">
        <v>0</v>
      </c>
      <c r="J358">
        <v>0</v>
      </c>
      <c r="K358">
        <v>0</v>
      </c>
      <c r="L358">
        <v>40.75</v>
      </c>
      <c r="M358">
        <v>0</v>
      </c>
      <c r="N358">
        <v>18.6435</v>
      </c>
      <c r="O358">
        <v>16.779199999999999</v>
      </c>
      <c r="P358">
        <v>0</v>
      </c>
      <c r="R358">
        <v>0</v>
      </c>
      <c r="S358">
        <v>0</v>
      </c>
      <c r="T358">
        <v>12.893000000000001</v>
      </c>
      <c r="U358">
        <f t="shared" si="18"/>
        <v>595.40347485940993</v>
      </c>
    </row>
    <row r="359" spans="1:21" x14ac:dyDescent="0.25">
      <c r="A359" t="s">
        <v>27</v>
      </c>
      <c r="B359" t="str">
        <f t="shared" si="20"/>
        <v>61989592</v>
      </c>
      <c r="C359" t="s">
        <v>193</v>
      </c>
      <c r="D359">
        <v>15210</v>
      </c>
      <c r="E359" t="s">
        <v>337</v>
      </c>
      <c r="F359">
        <v>2511</v>
      </c>
      <c r="G359">
        <v>28691.646892893001</v>
      </c>
      <c r="H359">
        <v>22487.152192386999</v>
      </c>
      <c r="I359">
        <v>0</v>
      </c>
      <c r="J359">
        <v>0</v>
      </c>
      <c r="K359">
        <v>0</v>
      </c>
      <c r="L359">
        <v>40.75</v>
      </c>
      <c r="M359">
        <v>0</v>
      </c>
      <c r="N359">
        <v>2302.39</v>
      </c>
      <c r="O359">
        <v>2072.15</v>
      </c>
      <c r="P359">
        <v>0</v>
      </c>
      <c r="Q359">
        <v>0</v>
      </c>
      <c r="R359">
        <v>81.338005675100007</v>
      </c>
      <c r="S359">
        <v>81.338005675100007</v>
      </c>
      <c r="T359">
        <v>111.107</v>
      </c>
      <c r="U359">
        <f t="shared" si="18"/>
        <v>24751.747198062101</v>
      </c>
    </row>
    <row r="360" spans="1:21" x14ac:dyDescent="0.25">
      <c r="A360" t="s">
        <v>27</v>
      </c>
      <c r="B360" t="str">
        <f t="shared" si="20"/>
        <v>61989592</v>
      </c>
      <c r="C360" t="s">
        <v>193</v>
      </c>
      <c r="D360">
        <v>15220</v>
      </c>
      <c r="E360" t="s">
        <v>354</v>
      </c>
      <c r="F360">
        <v>635</v>
      </c>
      <c r="G360">
        <v>6133.0908100294</v>
      </c>
      <c r="H360">
        <v>4889.5303264475997</v>
      </c>
      <c r="I360">
        <v>0</v>
      </c>
      <c r="J360">
        <v>0</v>
      </c>
      <c r="K360">
        <v>0</v>
      </c>
      <c r="L360">
        <v>40.75</v>
      </c>
      <c r="M360">
        <v>0</v>
      </c>
      <c r="N360">
        <v>367.63299999999998</v>
      </c>
      <c r="O360">
        <v>330.87</v>
      </c>
      <c r="P360">
        <v>0</v>
      </c>
      <c r="Q360">
        <v>0</v>
      </c>
      <c r="R360">
        <v>17.4520740295</v>
      </c>
      <c r="S360">
        <v>17.4520740295</v>
      </c>
      <c r="T360">
        <v>55.799799999999998</v>
      </c>
      <c r="U360">
        <f t="shared" si="18"/>
        <v>5293.6522004770995</v>
      </c>
    </row>
    <row r="361" spans="1:21" x14ac:dyDescent="0.25">
      <c r="A361" t="s">
        <v>27</v>
      </c>
      <c r="B361" t="str">
        <f t="shared" si="20"/>
        <v>61989592</v>
      </c>
      <c r="C361" t="s">
        <v>193</v>
      </c>
      <c r="D361">
        <v>15260</v>
      </c>
      <c r="E361" t="s">
        <v>471</v>
      </c>
      <c r="F361">
        <v>580</v>
      </c>
      <c r="G361">
        <v>8628.7330310788002</v>
      </c>
      <c r="H361">
        <v>7004.1354393736001</v>
      </c>
      <c r="I361">
        <v>0</v>
      </c>
      <c r="J361">
        <v>0</v>
      </c>
      <c r="K361">
        <v>0</v>
      </c>
      <c r="L361">
        <v>40.75</v>
      </c>
      <c r="M361">
        <v>1</v>
      </c>
      <c r="N361">
        <v>920.57</v>
      </c>
      <c r="O361">
        <v>1028.4100000000001</v>
      </c>
      <c r="P361">
        <v>0</v>
      </c>
      <c r="Q361">
        <v>0</v>
      </c>
      <c r="R361">
        <v>14.7849098878</v>
      </c>
      <c r="S361">
        <v>14.7849098878</v>
      </c>
      <c r="T361">
        <v>15.379099999999999</v>
      </c>
      <c r="U361">
        <f t="shared" si="18"/>
        <v>8062.7094492613996</v>
      </c>
    </row>
    <row r="362" spans="1:21" x14ac:dyDescent="0.25">
      <c r="A362" t="s">
        <v>27</v>
      </c>
      <c r="B362" t="str">
        <f t="shared" si="20"/>
        <v>61989592</v>
      </c>
      <c r="C362" t="s">
        <v>193</v>
      </c>
      <c r="D362">
        <v>15310</v>
      </c>
      <c r="E362" t="s">
        <v>340</v>
      </c>
      <c r="F362">
        <v>3325</v>
      </c>
      <c r="G362">
        <v>90061.752570551005</v>
      </c>
      <c r="H362">
        <v>96724.581901555997</v>
      </c>
      <c r="I362">
        <v>0</v>
      </c>
      <c r="J362">
        <v>0</v>
      </c>
      <c r="K362">
        <v>0</v>
      </c>
      <c r="L362">
        <v>40.75</v>
      </c>
      <c r="M362">
        <v>9.57</v>
      </c>
      <c r="N362">
        <v>10801.3</v>
      </c>
      <c r="O362">
        <v>11634.2</v>
      </c>
      <c r="P362">
        <v>640</v>
      </c>
      <c r="Q362">
        <v>601.5</v>
      </c>
      <c r="R362">
        <v>1007.8730261702</v>
      </c>
      <c r="S362">
        <v>1609.3730261702001</v>
      </c>
      <c r="T362">
        <v>7738.23</v>
      </c>
      <c r="U362">
        <f t="shared" si="18"/>
        <v>117706.38492772619</v>
      </c>
    </row>
    <row r="363" spans="1:21" x14ac:dyDescent="0.25">
      <c r="A363" t="s">
        <v>27</v>
      </c>
      <c r="B363" t="str">
        <f t="shared" si="20"/>
        <v>61989592</v>
      </c>
      <c r="C363" t="s">
        <v>193</v>
      </c>
      <c r="D363">
        <v>15410</v>
      </c>
      <c r="E363" t="s">
        <v>341</v>
      </c>
      <c r="F363">
        <v>670</v>
      </c>
      <c r="G363">
        <v>7751.6969548614998</v>
      </c>
      <c r="H363">
        <v>5233.4416154943001</v>
      </c>
      <c r="I363">
        <v>0</v>
      </c>
      <c r="J363">
        <v>0</v>
      </c>
      <c r="K363">
        <v>0</v>
      </c>
      <c r="L363">
        <v>40.75</v>
      </c>
      <c r="M363">
        <v>0</v>
      </c>
      <c r="N363">
        <v>374.85399999999998</v>
      </c>
      <c r="O363">
        <v>337.36900000000003</v>
      </c>
      <c r="P363">
        <v>0</v>
      </c>
      <c r="Q363">
        <v>0</v>
      </c>
      <c r="R363">
        <v>9.387577727</v>
      </c>
      <c r="S363">
        <v>9.387577727</v>
      </c>
      <c r="T363">
        <v>82.52</v>
      </c>
      <c r="U363">
        <f t="shared" si="18"/>
        <v>5662.7181932212998</v>
      </c>
    </row>
    <row r="364" spans="1:21" x14ac:dyDescent="0.25">
      <c r="A364" t="s">
        <v>27</v>
      </c>
      <c r="B364" t="str">
        <f t="shared" si="20"/>
        <v>61989592</v>
      </c>
      <c r="C364" t="s">
        <v>193</v>
      </c>
      <c r="D364">
        <v>15510</v>
      </c>
      <c r="E364" t="s">
        <v>472</v>
      </c>
      <c r="F364">
        <v>536</v>
      </c>
      <c r="G364">
        <v>6325.8159263537</v>
      </c>
      <c r="H364">
        <v>4785.0441214965003</v>
      </c>
      <c r="I364">
        <v>0</v>
      </c>
      <c r="J364">
        <v>0</v>
      </c>
      <c r="K364">
        <v>0</v>
      </c>
      <c r="L364">
        <v>40.75</v>
      </c>
      <c r="M364">
        <v>1</v>
      </c>
      <c r="N364">
        <v>427.63299999999998</v>
      </c>
      <c r="O364">
        <v>584.76800000000003</v>
      </c>
      <c r="P364">
        <v>0</v>
      </c>
      <c r="Q364">
        <v>0</v>
      </c>
      <c r="R364">
        <v>2.8561757738</v>
      </c>
      <c r="S364">
        <v>2.8561757738</v>
      </c>
      <c r="T364">
        <v>171.15299999999999</v>
      </c>
      <c r="U364">
        <f t="shared" si="18"/>
        <v>5543.8212972703004</v>
      </c>
    </row>
    <row r="365" spans="1:21" x14ac:dyDescent="0.25">
      <c r="A365" t="s">
        <v>27</v>
      </c>
      <c r="B365" t="str">
        <f t="shared" si="20"/>
        <v>61989592</v>
      </c>
      <c r="C365" t="s">
        <v>193</v>
      </c>
      <c r="D365">
        <v>15610</v>
      </c>
      <c r="E365" t="s">
        <v>473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40.75</v>
      </c>
      <c r="M365">
        <v>0</v>
      </c>
      <c r="N365">
        <v>0</v>
      </c>
      <c r="O365">
        <v>0</v>
      </c>
      <c r="P365">
        <v>0</v>
      </c>
      <c r="R365">
        <v>0</v>
      </c>
      <c r="S365">
        <v>0</v>
      </c>
      <c r="T365">
        <v>0</v>
      </c>
      <c r="U365">
        <f t="shared" si="18"/>
        <v>0</v>
      </c>
    </row>
    <row r="366" spans="1:21" x14ac:dyDescent="0.25">
      <c r="A366" t="s">
        <v>27</v>
      </c>
      <c r="B366" t="str">
        <f t="shared" si="20"/>
        <v>61989592</v>
      </c>
      <c r="C366" t="s">
        <v>193</v>
      </c>
      <c r="D366">
        <v>15620</v>
      </c>
      <c r="E366" t="s">
        <v>474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40.75</v>
      </c>
      <c r="M366">
        <v>0</v>
      </c>
      <c r="N366">
        <v>0</v>
      </c>
      <c r="O366">
        <v>0</v>
      </c>
      <c r="P366">
        <v>0</v>
      </c>
      <c r="R366">
        <v>0</v>
      </c>
      <c r="S366">
        <v>0</v>
      </c>
      <c r="T366">
        <v>0</v>
      </c>
      <c r="U366">
        <f t="shared" si="18"/>
        <v>0</v>
      </c>
    </row>
    <row r="367" spans="1:21" x14ac:dyDescent="0.25">
      <c r="A367" t="s">
        <v>27</v>
      </c>
      <c r="B367" t="str">
        <f t="shared" si="20"/>
        <v>61989592</v>
      </c>
      <c r="C367" t="s">
        <v>193</v>
      </c>
      <c r="D367">
        <v>15630</v>
      </c>
      <c r="E367" t="s">
        <v>475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40.75</v>
      </c>
      <c r="M367">
        <v>0</v>
      </c>
      <c r="N367">
        <v>0</v>
      </c>
      <c r="O367">
        <v>0</v>
      </c>
      <c r="P367">
        <v>0</v>
      </c>
      <c r="R367">
        <v>0</v>
      </c>
      <c r="S367">
        <v>0</v>
      </c>
      <c r="T367">
        <v>0</v>
      </c>
      <c r="U367">
        <f t="shared" si="18"/>
        <v>0</v>
      </c>
    </row>
    <row r="368" spans="1:21" x14ac:dyDescent="0.25">
      <c r="A368" t="s">
        <v>27</v>
      </c>
      <c r="B368" t="str">
        <f t="shared" si="20"/>
        <v>61989592</v>
      </c>
      <c r="C368" t="s">
        <v>193</v>
      </c>
      <c r="D368">
        <v>15810</v>
      </c>
      <c r="E368" t="s">
        <v>476</v>
      </c>
      <c r="F368">
        <v>10</v>
      </c>
      <c r="G368">
        <v>112.87300032377</v>
      </c>
      <c r="H368">
        <v>86.096862143574</v>
      </c>
      <c r="I368">
        <v>0</v>
      </c>
      <c r="J368">
        <v>0</v>
      </c>
      <c r="K368">
        <v>0</v>
      </c>
      <c r="L368">
        <v>40.75</v>
      </c>
      <c r="M368">
        <v>0</v>
      </c>
      <c r="N368">
        <v>20.213100000000001</v>
      </c>
      <c r="O368">
        <v>18.191800000000001</v>
      </c>
      <c r="P368">
        <v>0</v>
      </c>
      <c r="Q368">
        <v>0</v>
      </c>
      <c r="R368">
        <v>54.540356503600002</v>
      </c>
      <c r="S368">
        <v>54.540356503600002</v>
      </c>
      <c r="T368">
        <v>64.593699999999998</v>
      </c>
      <c r="U368">
        <f t="shared" si="18"/>
        <v>223.42271864717401</v>
      </c>
    </row>
    <row r="369" spans="1:21" x14ac:dyDescent="0.25">
      <c r="A369" t="s">
        <v>27</v>
      </c>
      <c r="B369" t="str">
        <f t="shared" ref="B369:B392" si="21">"00216275"</f>
        <v>00216275</v>
      </c>
      <c r="C369" t="s">
        <v>194</v>
      </c>
      <c r="D369">
        <v>25110</v>
      </c>
      <c r="E369" t="s">
        <v>477</v>
      </c>
      <c r="F369">
        <v>49</v>
      </c>
      <c r="G369">
        <v>670.08930808003004</v>
      </c>
      <c r="H369">
        <v>549.25403445604002</v>
      </c>
      <c r="I369">
        <v>0</v>
      </c>
      <c r="J369">
        <v>0</v>
      </c>
      <c r="K369">
        <v>0</v>
      </c>
      <c r="L369">
        <v>16.47</v>
      </c>
      <c r="M369">
        <v>0</v>
      </c>
      <c r="N369">
        <v>54.2502</v>
      </c>
      <c r="O369">
        <v>48.825200000000002</v>
      </c>
      <c r="P369">
        <v>0</v>
      </c>
      <c r="Q369">
        <v>0</v>
      </c>
      <c r="R369">
        <v>60.462720975700002</v>
      </c>
      <c r="S369">
        <v>60.462720975700002</v>
      </c>
      <c r="T369">
        <v>233.64099999999999</v>
      </c>
      <c r="U369">
        <f t="shared" si="18"/>
        <v>892.18295543173997</v>
      </c>
    </row>
    <row r="370" spans="1:21" x14ac:dyDescent="0.25">
      <c r="A370" t="s">
        <v>27</v>
      </c>
      <c r="B370" t="str">
        <f t="shared" si="21"/>
        <v>00216275</v>
      </c>
      <c r="C370" t="s">
        <v>194</v>
      </c>
      <c r="D370">
        <v>25210</v>
      </c>
      <c r="E370" t="s">
        <v>478</v>
      </c>
      <c r="F370">
        <v>602</v>
      </c>
      <c r="G370">
        <v>7979.2324258051003</v>
      </c>
      <c r="H370">
        <v>6604.8763130583002</v>
      </c>
      <c r="I370">
        <v>0</v>
      </c>
      <c r="J370">
        <v>0</v>
      </c>
      <c r="K370">
        <v>0</v>
      </c>
      <c r="L370">
        <v>16.47</v>
      </c>
      <c r="M370">
        <v>1</v>
      </c>
      <c r="N370">
        <v>989.75</v>
      </c>
      <c r="O370">
        <v>1054.04</v>
      </c>
      <c r="P370">
        <v>0</v>
      </c>
      <c r="R370">
        <v>0</v>
      </c>
      <c r="S370">
        <v>0</v>
      </c>
      <c r="T370">
        <v>62.381</v>
      </c>
      <c r="U370">
        <f t="shared" si="18"/>
        <v>7721.2973130583005</v>
      </c>
    </row>
    <row r="371" spans="1:21" x14ac:dyDescent="0.25">
      <c r="A371" t="s">
        <v>27</v>
      </c>
      <c r="B371" t="str">
        <f t="shared" si="21"/>
        <v>00216275</v>
      </c>
      <c r="C371" t="s">
        <v>194</v>
      </c>
      <c r="D371">
        <v>25310</v>
      </c>
      <c r="E371" t="s">
        <v>479</v>
      </c>
      <c r="F371">
        <v>1232</v>
      </c>
      <c r="G371">
        <v>36513.243181284997</v>
      </c>
      <c r="H371">
        <v>40059.121136157002</v>
      </c>
      <c r="I371">
        <v>1</v>
      </c>
      <c r="J371">
        <v>1</v>
      </c>
      <c r="K371">
        <v>2000</v>
      </c>
      <c r="L371">
        <v>16.47</v>
      </c>
      <c r="M371">
        <v>0.71</v>
      </c>
      <c r="N371">
        <v>4023.09</v>
      </c>
      <c r="O371">
        <v>3736.7</v>
      </c>
      <c r="P371">
        <v>130</v>
      </c>
      <c r="Q371">
        <v>98.939392805099004</v>
      </c>
      <c r="R371">
        <v>369.18172005269997</v>
      </c>
      <c r="S371">
        <v>468.12111285779997</v>
      </c>
      <c r="T371">
        <v>1722.17</v>
      </c>
      <c r="U371">
        <f t="shared" si="18"/>
        <v>47986.112249014797</v>
      </c>
    </row>
    <row r="372" spans="1:21" x14ac:dyDescent="0.25">
      <c r="A372" t="s">
        <v>27</v>
      </c>
      <c r="B372" t="str">
        <f t="shared" si="21"/>
        <v>00216275</v>
      </c>
      <c r="C372" t="s">
        <v>194</v>
      </c>
      <c r="D372">
        <v>25410</v>
      </c>
      <c r="E372" t="s">
        <v>480</v>
      </c>
      <c r="F372">
        <v>468</v>
      </c>
      <c r="G372">
        <v>5005.5586637879996</v>
      </c>
      <c r="H372">
        <v>3585.1805844421001</v>
      </c>
      <c r="I372">
        <v>0</v>
      </c>
      <c r="J372">
        <v>0</v>
      </c>
      <c r="K372">
        <v>0</v>
      </c>
      <c r="L372">
        <v>16.47</v>
      </c>
      <c r="M372">
        <v>0</v>
      </c>
      <c r="N372">
        <v>372.83699999999999</v>
      </c>
      <c r="O372">
        <v>335.553</v>
      </c>
      <c r="P372">
        <v>0</v>
      </c>
      <c r="Q372">
        <v>0</v>
      </c>
      <c r="R372">
        <v>8.5475260289000001</v>
      </c>
      <c r="S372">
        <v>8.5475260289000001</v>
      </c>
      <c r="T372">
        <v>51.6374</v>
      </c>
      <c r="U372">
        <f t="shared" si="18"/>
        <v>3980.918510471</v>
      </c>
    </row>
    <row r="373" spans="1:21" x14ac:dyDescent="0.25">
      <c r="A373" t="s">
        <v>27</v>
      </c>
      <c r="B373" t="str">
        <f t="shared" si="21"/>
        <v>00216275</v>
      </c>
      <c r="C373" t="s">
        <v>194</v>
      </c>
      <c r="D373">
        <v>25510</v>
      </c>
      <c r="E373" t="s">
        <v>481</v>
      </c>
      <c r="F373">
        <v>211</v>
      </c>
      <c r="G373">
        <v>1898.0912778797999</v>
      </c>
      <c r="H373">
        <v>1456.1983854087</v>
      </c>
      <c r="I373">
        <v>0</v>
      </c>
      <c r="J373">
        <v>0</v>
      </c>
      <c r="K373">
        <v>0</v>
      </c>
      <c r="L373">
        <v>16.47</v>
      </c>
      <c r="M373">
        <v>0</v>
      </c>
      <c r="N373">
        <v>310.77699999999999</v>
      </c>
      <c r="O373">
        <v>279.69900000000001</v>
      </c>
      <c r="P373">
        <v>10</v>
      </c>
      <c r="Q373">
        <v>10</v>
      </c>
      <c r="R373">
        <v>273.05880448969998</v>
      </c>
      <c r="S373">
        <v>283.05880448969998</v>
      </c>
      <c r="T373">
        <v>1196.5899999999999</v>
      </c>
      <c r="U373">
        <f t="shared" si="18"/>
        <v>3215.5461898983999</v>
      </c>
    </row>
    <row r="374" spans="1:21" x14ac:dyDescent="0.25">
      <c r="A374" t="s">
        <v>27</v>
      </c>
      <c r="B374" t="str">
        <f t="shared" si="21"/>
        <v>00216275</v>
      </c>
      <c r="C374" t="s">
        <v>194</v>
      </c>
      <c r="D374">
        <v>25520</v>
      </c>
      <c r="E374" t="s">
        <v>434</v>
      </c>
      <c r="F374">
        <v>88</v>
      </c>
      <c r="G374">
        <v>694.43857048737004</v>
      </c>
      <c r="H374">
        <v>613.66787655544999</v>
      </c>
      <c r="I374">
        <v>0</v>
      </c>
      <c r="J374">
        <v>0</v>
      </c>
      <c r="K374">
        <v>0</v>
      </c>
      <c r="L374">
        <v>16.47</v>
      </c>
      <c r="M374">
        <v>0</v>
      </c>
      <c r="N374">
        <v>111.71899999999999</v>
      </c>
      <c r="O374">
        <v>100.547</v>
      </c>
      <c r="P374">
        <v>0</v>
      </c>
      <c r="Q374">
        <v>0</v>
      </c>
      <c r="R374">
        <v>24.004477275100001</v>
      </c>
      <c r="S374">
        <v>24.004477275100001</v>
      </c>
      <c r="T374">
        <v>34.963999999999999</v>
      </c>
      <c r="U374">
        <f t="shared" si="18"/>
        <v>773.18335383055</v>
      </c>
    </row>
    <row r="375" spans="1:21" x14ac:dyDescent="0.25">
      <c r="A375" t="s">
        <v>27</v>
      </c>
      <c r="B375" t="str">
        <f t="shared" si="21"/>
        <v>00216275</v>
      </c>
      <c r="C375" t="s">
        <v>194</v>
      </c>
      <c r="D375">
        <v>25530</v>
      </c>
      <c r="E375" t="s">
        <v>482</v>
      </c>
      <c r="F375">
        <v>244</v>
      </c>
      <c r="G375">
        <v>2208.1962420780001</v>
      </c>
      <c r="H375">
        <v>1291.861505992</v>
      </c>
      <c r="I375">
        <v>0</v>
      </c>
      <c r="J375">
        <v>0</v>
      </c>
      <c r="K375">
        <v>0</v>
      </c>
      <c r="L375">
        <v>16.47</v>
      </c>
      <c r="M375">
        <v>0</v>
      </c>
      <c r="N375">
        <v>256.11399999999998</v>
      </c>
      <c r="O375">
        <v>230.50299999999999</v>
      </c>
      <c r="P375">
        <v>0</v>
      </c>
      <c r="Q375">
        <v>0</v>
      </c>
      <c r="R375">
        <v>97.025971138499997</v>
      </c>
      <c r="S375">
        <v>97.025971138499997</v>
      </c>
      <c r="T375">
        <v>1494.69</v>
      </c>
      <c r="U375">
        <f t="shared" si="18"/>
        <v>3114.0804771305002</v>
      </c>
    </row>
    <row r="376" spans="1:21" x14ac:dyDescent="0.25">
      <c r="A376" t="s">
        <v>27</v>
      </c>
      <c r="B376" t="str">
        <f t="shared" si="21"/>
        <v>00216275</v>
      </c>
      <c r="C376" t="s">
        <v>194</v>
      </c>
      <c r="D376">
        <v>25620</v>
      </c>
      <c r="E376" t="s">
        <v>483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16.47</v>
      </c>
      <c r="M376">
        <v>0</v>
      </c>
      <c r="N376">
        <v>0</v>
      </c>
      <c r="O376">
        <v>0</v>
      </c>
      <c r="P376">
        <v>0</v>
      </c>
      <c r="R376">
        <v>0</v>
      </c>
      <c r="S376">
        <v>0</v>
      </c>
      <c r="T376">
        <v>0</v>
      </c>
      <c r="U376">
        <f t="shared" si="18"/>
        <v>0</v>
      </c>
    </row>
    <row r="377" spans="1:21" x14ac:dyDescent="0.25">
      <c r="A377" t="s">
        <v>27</v>
      </c>
      <c r="B377" t="str">
        <f t="shared" si="21"/>
        <v>00216275</v>
      </c>
      <c r="C377" t="s">
        <v>194</v>
      </c>
      <c r="D377">
        <v>25630</v>
      </c>
      <c r="E377" t="s">
        <v>484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16.47</v>
      </c>
      <c r="M377">
        <v>0</v>
      </c>
      <c r="N377">
        <v>0</v>
      </c>
      <c r="O377">
        <v>0</v>
      </c>
      <c r="P377">
        <v>0</v>
      </c>
      <c r="R377">
        <v>0</v>
      </c>
      <c r="S377">
        <v>0</v>
      </c>
      <c r="T377">
        <v>0</v>
      </c>
      <c r="U377">
        <f t="shared" si="18"/>
        <v>0</v>
      </c>
    </row>
    <row r="378" spans="1:21" x14ac:dyDescent="0.25">
      <c r="A378" t="s">
        <v>27</v>
      </c>
      <c r="B378" t="str">
        <f t="shared" si="21"/>
        <v>00216275</v>
      </c>
      <c r="C378" t="s">
        <v>194</v>
      </c>
      <c r="D378">
        <v>25640</v>
      </c>
      <c r="E378" t="s">
        <v>485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16.47</v>
      </c>
      <c r="M378">
        <v>0</v>
      </c>
      <c r="N378">
        <v>0</v>
      </c>
      <c r="O378">
        <v>0</v>
      </c>
      <c r="P378">
        <v>0</v>
      </c>
      <c r="R378">
        <v>0</v>
      </c>
      <c r="S378">
        <v>0</v>
      </c>
      <c r="T378">
        <v>0</v>
      </c>
      <c r="U378">
        <f t="shared" si="18"/>
        <v>0</v>
      </c>
    </row>
    <row r="379" spans="1:21" x14ac:dyDescent="0.25">
      <c r="A379" t="s">
        <v>27</v>
      </c>
      <c r="B379" t="str">
        <f t="shared" si="21"/>
        <v>00216275</v>
      </c>
      <c r="C379" t="s">
        <v>194</v>
      </c>
      <c r="D379">
        <v>25650</v>
      </c>
      <c r="E379" t="s">
        <v>486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16.47</v>
      </c>
      <c r="M379">
        <v>0</v>
      </c>
      <c r="N379">
        <v>0</v>
      </c>
      <c r="O379">
        <v>0</v>
      </c>
      <c r="P379">
        <v>0</v>
      </c>
      <c r="R379">
        <v>0</v>
      </c>
      <c r="S379">
        <v>0</v>
      </c>
      <c r="T379">
        <v>0</v>
      </c>
      <c r="U379">
        <f t="shared" si="18"/>
        <v>0</v>
      </c>
    </row>
    <row r="380" spans="1:21" x14ac:dyDescent="0.25">
      <c r="A380" t="s">
        <v>27</v>
      </c>
      <c r="B380" t="str">
        <f t="shared" si="21"/>
        <v>00216275</v>
      </c>
      <c r="C380" t="s">
        <v>194</v>
      </c>
      <c r="D380">
        <v>25660</v>
      </c>
      <c r="E380" t="s">
        <v>487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16.47</v>
      </c>
      <c r="M380">
        <v>0</v>
      </c>
      <c r="N380">
        <v>0</v>
      </c>
      <c r="O380">
        <v>0</v>
      </c>
      <c r="P380">
        <v>0</v>
      </c>
      <c r="R380">
        <v>0</v>
      </c>
      <c r="S380">
        <v>0</v>
      </c>
      <c r="T380">
        <v>0</v>
      </c>
      <c r="U380">
        <f t="shared" si="18"/>
        <v>0</v>
      </c>
    </row>
    <row r="381" spans="1:21" x14ac:dyDescent="0.25">
      <c r="A381" t="s">
        <v>27</v>
      </c>
      <c r="B381" t="str">
        <f t="shared" si="21"/>
        <v>00216275</v>
      </c>
      <c r="C381" t="s">
        <v>194</v>
      </c>
      <c r="D381">
        <v>25670</v>
      </c>
      <c r="E381" t="s">
        <v>488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16.47</v>
      </c>
      <c r="M381">
        <v>0</v>
      </c>
      <c r="N381">
        <v>0</v>
      </c>
      <c r="O381">
        <v>0</v>
      </c>
      <c r="P381">
        <v>0</v>
      </c>
      <c r="R381">
        <v>0</v>
      </c>
      <c r="S381">
        <v>0</v>
      </c>
      <c r="T381">
        <v>0</v>
      </c>
      <c r="U381">
        <f t="shared" si="18"/>
        <v>0</v>
      </c>
    </row>
    <row r="382" spans="1:21" x14ac:dyDescent="0.25">
      <c r="A382" t="s">
        <v>27</v>
      </c>
      <c r="B382" t="str">
        <f t="shared" si="21"/>
        <v>00216275</v>
      </c>
      <c r="C382" t="s">
        <v>194</v>
      </c>
      <c r="D382">
        <v>25680</v>
      </c>
      <c r="E382" t="s">
        <v>489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16.47</v>
      </c>
      <c r="M382">
        <v>0</v>
      </c>
      <c r="N382">
        <v>0</v>
      </c>
      <c r="O382">
        <v>0</v>
      </c>
      <c r="P382">
        <v>0</v>
      </c>
      <c r="R382">
        <v>0</v>
      </c>
      <c r="S382">
        <v>0</v>
      </c>
      <c r="T382">
        <v>0</v>
      </c>
      <c r="U382">
        <f t="shared" si="18"/>
        <v>0</v>
      </c>
    </row>
    <row r="383" spans="1:21" x14ac:dyDescent="0.25">
      <c r="A383" t="s">
        <v>27</v>
      </c>
      <c r="B383" t="str">
        <f t="shared" si="21"/>
        <v>00216275</v>
      </c>
      <c r="C383" t="s">
        <v>194</v>
      </c>
      <c r="D383">
        <v>25690</v>
      </c>
      <c r="E383" t="s">
        <v>490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16.47</v>
      </c>
      <c r="M383">
        <v>0</v>
      </c>
      <c r="N383">
        <v>0</v>
      </c>
      <c r="O383">
        <v>0</v>
      </c>
      <c r="P383">
        <v>0</v>
      </c>
      <c r="R383">
        <v>0</v>
      </c>
      <c r="S383">
        <v>0</v>
      </c>
      <c r="T383">
        <v>0</v>
      </c>
      <c r="U383">
        <f t="shared" si="18"/>
        <v>0</v>
      </c>
    </row>
    <row r="384" spans="1:21" x14ac:dyDescent="0.25">
      <c r="A384" t="s">
        <v>27</v>
      </c>
      <c r="B384" t="str">
        <f t="shared" si="21"/>
        <v>00216275</v>
      </c>
      <c r="C384" t="s">
        <v>194</v>
      </c>
      <c r="D384">
        <v>25700</v>
      </c>
      <c r="E384" t="s">
        <v>491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16.47</v>
      </c>
      <c r="M384">
        <v>0</v>
      </c>
      <c r="N384">
        <v>0</v>
      </c>
      <c r="O384">
        <v>0</v>
      </c>
      <c r="P384">
        <v>0</v>
      </c>
      <c r="R384">
        <v>0</v>
      </c>
      <c r="S384">
        <v>0</v>
      </c>
      <c r="T384">
        <v>0</v>
      </c>
      <c r="U384">
        <f t="shared" si="18"/>
        <v>0</v>
      </c>
    </row>
    <row r="385" spans="1:21" x14ac:dyDescent="0.25">
      <c r="A385" t="s">
        <v>27</v>
      </c>
      <c r="B385" t="str">
        <f t="shared" si="21"/>
        <v>00216275</v>
      </c>
      <c r="C385" t="s">
        <v>194</v>
      </c>
      <c r="D385">
        <v>25710</v>
      </c>
      <c r="E385" t="s">
        <v>492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16.47</v>
      </c>
      <c r="M385">
        <v>0</v>
      </c>
      <c r="N385">
        <v>0</v>
      </c>
      <c r="O385">
        <v>0</v>
      </c>
      <c r="P385">
        <v>0</v>
      </c>
      <c r="R385">
        <v>0</v>
      </c>
      <c r="S385">
        <v>0</v>
      </c>
      <c r="T385">
        <v>0</v>
      </c>
      <c r="U385">
        <f t="shared" si="18"/>
        <v>0</v>
      </c>
    </row>
    <row r="386" spans="1:21" x14ac:dyDescent="0.25">
      <c r="A386" t="s">
        <v>27</v>
      </c>
      <c r="B386" t="str">
        <f t="shared" si="21"/>
        <v>00216275</v>
      </c>
      <c r="C386" t="s">
        <v>194</v>
      </c>
      <c r="D386">
        <v>25730</v>
      </c>
      <c r="E386" t="s">
        <v>493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16.47</v>
      </c>
      <c r="M386">
        <v>0</v>
      </c>
      <c r="N386">
        <v>0</v>
      </c>
      <c r="O386">
        <v>0</v>
      </c>
      <c r="P386">
        <v>0</v>
      </c>
      <c r="R386">
        <v>0</v>
      </c>
      <c r="S386">
        <v>0</v>
      </c>
      <c r="T386">
        <v>0</v>
      </c>
      <c r="U386">
        <f t="shared" si="18"/>
        <v>0</v>
      </c>
    </row>
    <row r="387" spans="1:21" x14ac:dyDescent="0.25">
      <c r="A387" t="s">
        <v>27</v>
      </c>
      <c r="B387" t="str">
        <f t="shared" si="21"/>
        <v>00216275</v>
      </c>
      <c r="C387" t="s">
        <v>194</v>
      </c>
      <c r="D387">
        <v>25740</v>
      </c>
      <c r="E387" t="s">
        <v>494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16.47</v>
      </c>
      <c r="M387">
        <v>0</v>
      </c>
      <c r="N387">
        <v>0</v>
      </c>
      <c r="O387">
        <v>0</v>
      </c>
      <c r="P387">
        <v>0</v>
      </c>
      <c r="R387">
        <v>0</v>
      </c>
      <c r="S387">
        <v>0</v>
      </c>
      <c r="T387">
        <v>0</v>
      </c>
      <c r="U387">
        <f t="shared" si="18"/>
        <v>0</v>
      </c>
    </row>
    <row r="388" spans="1:21" x14ac:dyDescent="0.25">
      <c r="A388" t="s">
        <v>27</v>
      </c>
      <c r="B388" t="str">
        <f t="shared" si="21"/>
        <v>00216275</v>
      </c>
      <c r="C388" t="s">
        <v>194</v>
      </c>
      <c r="D388">
        <v>25750</v>
      </c>
      <c r="E388" t="s">
        <v>347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16.47</v>
      </c>
      <c r="M388">
        <v>0</v>
      </c>
      <c r="N388">
        <v>0</v>
      </c>
      <c r="O388">
        <v>0</v>
      </c>
      <c r="P388">
        <v>0</v>
      </c>
      <c r="R388">
        <v>0</v>
      </c>
      <c r="S388">
        <v>0</v>
      </c>
      <c r="T388">
        <v>0</v>
      </c>
      <c r="U388">
        <f t="shared" ref="U388:U451" si="22">H388+K388+O388+S388+T388</f>
        <v>0</v>
      </c>
    </row>
    <row r="389" spans="1:21" x14ac:dyDescent="0.25">
      <c r="A389" t="s">
        <v>27</v>
      </c>
      <c r="B389" t="str">
        <f t="shared" si="21"/>
        <v>00216275</v>
      </c>
      <c r="C389" t="s">
        <v>194</v>
      </c>
      <c r="D389">
        <v>25810</v>
      </c>
      <c r="E389" t="s">
        <v>297</v>
      </c>
      <c r="F389">
        <v>3</v>
      </c>
      <c r="G389">
        <v>8.1530001163483004</v>
      </c>
      <c r="H389">
        <v>1.4779999852179999</v>
      </c>
      <c r="I389">
        <v>0</v>
      </c>
      <c r="J389">
        <v>0</v>
      </c>
      <c r="K389">
        <v>0</v>
      </c>
      <c r="L389">
        <v>16.47</v>
      </c>
      <c r="M389">
        <v>0</v>
      </c>
      <c r="N389">
        <v>6.93E-2</v>
      </c>
      <c r="O389">
        <v>6.2370000000000002E-2</v>
      </c>
      <c r="P389">
        <v>0</v>
      </c>
      <c r="Q389">
        <v>0</v>
      </c>
      <c r="R389">
        <v>3.6752261795000001</v>
      </c>
      <c r="S389">
        <v>3.6752261795000001</v>
      </c>
      <c r="T389">
        <v>0</v>
      </c>
      <c r="U389">
        <f t="shared" si="22"/>
        <v>5.2155961647179998</v>
      </c>
    </row>
    <row r="390" spans="1:21" x14ac:dyDescent="0.25">
      <c r="A390" t="s">
        <v>27</v>
      </c>
      <c r="B390" t="str">
        <f t="shared" si="21"/>
        <v>00216275</v>
      </c>
      <c r="C390" t="s">
        <v>194</v>
      </c>
      <c r="D390">
        <v>25830</v>
      </c>
      <c r="E390" t="s">
        <v>495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16.47</v>
      </c>
      <c r="M390">
        <v>0</v>
      </c>
      <c r="N390">
        <v>0</v>
      </c>
      <c r="O390">
        <v>0</v>
      </c>
      <c r="P390">
        <v>0</v>
      </c>
      <c r="R390">
        <v>0</v>
      </c>
      <c r="S390">
        <v>0</v>
      </c>
      <c r="T390">
        <v>0</v>
      </c>
      <c r="U390">
        <f t="shared" si="22"/>
        <v>0</v>
      </c>
    </row>
    <row r="391" spans="1:21" x14ac:dyDescent="0.25">
      <c r="A391" t="s">
        <v>27</v>
      </c>
      <c r="B391" t="str">
        <f t="shared" si="21"/>
        <v>00216275</v>
      </c>
      <c r="C391" t="s">
        <v>194</v>
      </c>
      <c r="D391">
        <v>25840</v>
      </c>
      <c r="E391" t="s">
        <v>496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16.47</v>
      </c>
      <c r="M391">
        <v>0</v>
      </c>
      <c r="N391">
        <v>0</v>
      </c>
      <c r="O391">
        <v>0</v>
      </c>
      <c r="P391">
        <v>0</v>
      </c>
      <c r="R391">
        <v>0</v>
      </c>
      <c r="S391">
        <v>0</v>
      </c>
      <c r="T391">
        <v>0</v>
      </c>
      <c r="U391">
        <f t="shared" si="22"/>
        <v>0</v>
      </c>
    </row>
    <row r="392" spans="1:21" x14ac:dyDescent="0.25">
      <c r="A392" t="s">
        <v>27</v>
      </c>
      <c r="B392" t="str">
        <f t="shared" si="21"/>
        <v>00216275</v>
      </c>
      <c r="C392" t="s">
        <v>194</v>
      </c>
      <c r="D392">
        <v>25850</v>
      </c>
      <c r="E392" t="s">
        <v>497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16.47</v>
      </c>
      <c r="M392">
        <v>0</v>
      </c>
      <c r="N392">
        <v>0</v>
      </c>
      <c r="O392">
        <v>0</v>
      </c>
      <c r="P392">
        <v>0</v>
      </c>
      <c r="R392">
        <v>0</v>
      </c>
      <c r="S392">
        <v>0</v>
      </c>
      <c r="T392">
        <v>0</v>
      </c>
      <c r="U392">
        <f t="shared" si="22"/>
        <v>0</v>
      </c>
    </row>
    <row r="393" spans="1:21" x14ac:dyDescent="0.25">
      <c r="A393" t="s">
        <v>27</v>
      </c>
      <c r="B393" t="str">
        <f t="shared" ref="B393:B401" si="23">"70883521"</f>
        <v>70883521</v>
      </c>
      <c r="C393" t="s">
        <v>195</v>
      </c>
      <c r="D393">
        <v>28110</v>
      </c>
      <c r="E393" t="s">
        <v>498</v>
      </c>
      <c r="F393">
        <v>584</v>
      </c>
      <c r="G393">
        <v>7775.9213698316998</v>
      </c>
      <c r="H393">
        <v>8308.5344541546001</v>
      </c>
      <c r="I393">
        <v>0</v>
      </c>
      <c r="J393">
        <v>0</v>
      </c>
      <c r="K393">
        <v>0</v>
      </c>
      <c r="L393">
        <v>10</v>
      </c>
      <c r="M393">
        <v>0</v>
      </c>
      <c r="N393">
        <v>1654.28</v>
      </c>
      <c r="O393">
        <v>1488.85</v>
      </c>
      <c r="P393">
        <v>10</v>
      </c>
      <c r="Q393">
        <v>10</v>
      </c>
      <c r="R393">
        <v>184.6433632575</v>
      </c>
      <c r="S393">
        <v>194.6433632575</v>
      </c>
      <c r="T393">
        <v>959.68100000000004</v>
      </c>
      <c r="U393">
        <f t="shared" si="22"/>
        <v>10951.708817412102</v>
      </c>
    </row>
    <row r="394" spans="1:21" x14ac:dyDescent="0.25">
      <c r="A394" t="s">
        <v>27</v>
      </c>
      <c r="B394" t="str">
        <f t="shared" si="23"/>
        <v>70883521</v>
      </c>
      <c r="C394" t="s">
        <v>195</v>
      </c>
      <c r="D394">
        <v>28120</v>
      </c>
      <c r="E394" t="s">
        <v>499</v>
      </c>
      <c r="F394">
        <v>560</v>
      </c>
      <c r="G394">
        <v>6280.3961821802004</v>
      </c>
      <c r="H394">
        <v>5039.856526388</v>
      </c>
      <c r="I394">
        <v>0</v>
      </c>
      <c r="J394">
        <v>0</v>
      </c>
      <c r="K394">
        <v>0</v>
      </c>
      <c r="L394">
        <v>10</v>
      </c>
      <c r="M394">
        <v>0</v>
      </c>
      <c r="N394">
        <v>472.04500000000002</v>
      </c>
      <c r="O394">
        <v>424.84100000000001</v>
      </c>
      <c r="P394">
        <v>0</v>
      </c>
      <c r="Q394">
        <v>0</v>
      </c>
      <c r="R394">
        <v>23.164425576999999</v>
      </c>
      <c r="S394">
        <v>23.164425576999999</v>
      </c>
      <c r="T394">
        <v>304.59800000000001</v>
      </c>
      <c r="U394">
        <f t="shared" si="22"/>
        <v>5792.4599519650001</v>
      </c>
    </row>
    <row r="395" spans="1:21" x14ac:dyDescent="0.25">
      <c r="A395" t="s">
        <v>27</v>
      </c>
      <c r="B395" t="str">
        <f t="shared" si="23"/>
        <v>70883521</v>
      </c>
      <c r="C395" t="s">
        <v>195</v>
      </c>
      <c r="D395">
        <v>28130</v>
      </c>
      <c r="E395" t="s">
        <v>500</v>
      </c>
      <c r="F395">
        <v>75</v>
      </c>
      <c r="G395">
        <v>1297.2607032607</v>
      </c>
      <c r="H395">
        <v>1037.0734440931999</v>
      </c>
      <c r="I395">
        <v>0</v>
      </c>
      <c r="J395">
        <v>0</v>
      </c>
      <c r="K395">
        <v>0</v>
      </c>
      <c r="L395">
        <v>10</v>
      </c>
      <c r="M395">
        <v>0</v>
      </c>
      <c r="N395">
        <v>132.72499999999999</v>
      </c>
      <c r="O395">
        <v>119.452</v>
      </c>
      <c r="P395">
        <v>0</v>
      </c>
      <c r="R395">
        <v>0</v>
      </c>
      <c r="S395">
        <v>0</v>
      </c>
      <c r="T395">
        <v>392.29</v>
      </c>
      <c r="U395">
        <f t="shared" si="22"/>
        <v>1548.8154440931999</v>
      </c>
    </row>
    <row r="396" spans="1:21" x14ac:dyDescent="0.25">
      <c r="A396" t="s">
        <v>27</v>
      </c>
      <c r="B396" t="str">
        <f t="shared" si="23"/>
        <v>70883521</v>
      </c>
      <c r="C396" t="s">
        <v>195</v>
      </c>
      <c r="D396">
        <v>28140</v>
      </c>
      <c r="E396" t="s">
        <v>501</v>
      </c>
      <c r="F396">
        <v>944</v>
      </c>
      <c r="G396">
        <v>11100.524005005</v>
      </c>
      <c r="H396">
        <v>8167.8034885303996</v>
      </c>
      <c r="I396">
        <v>0</v>
      </c>
      <c r="J396">
        <v>0</v>
      </c>
      <c r="K396">
        <v>0</v>
      </c>
      <c r="L396">
        <v>10</v>
      </c>
      <c r="M396">
        <v>0</v>
      </c>
      <c r="N396">
        <v>1062.22</v>
      </c>
      <c r="O396">
        <v>955.99800000000005</v>
      </c>
      <c r="P396">
        <v>130</v>
      </c>
      <c r="Q396">
        <v>107.93650436401001</v>
      </c>
      <c r="R396">
        <v>27.784709916899999</v>
      </c>
      <c r="S396">
        <v>135.7212142809</v>
      </c>
      <c r="T396">
        <v>2813.68</v>
      </c>
      <c r="U396">
        <f t="shared" si="22"/>
        <v>12073.202702811301</v>
      </c>
    </row>
    <row r="397" spans="1:21" x14ac:dyDescent="0.25">
      <c r="A397" t="s">
        <v>27</v>
      </c>
      <c r="B397" t="str">
        <f t="shared" si="23"/>
        <v>70883521</v>
      </c>
      <c r="C397" t="s">
        <v>195</v>
      </c>
      <c r="D397">
        <v>28150</v>
      </c>
      <c r="E397" t="s">
        <v>452</v>
      </c>
      <c r="F397">
        <v>270</v>
      </c>
      <c r="G397">
        <v>3018.0652016675999</v>
      </c>
      <c r="H397">
        <v>2433.0108806917001</v>
      </c>
      <c r="I397">
        <v>0</v>
      </c>
      <c r="J397">
        <v>0</v>
      </c>
      <c r="K397">
        <v>0</v>
      </c>
      <c r="L397">
        <v>10</v>
      </c>
      <c r="M397">
        <v>0</v>
      </c>
      <c r="N397">
        <v>147.78800000000001</v>
      </c>
      <c r="O397">
        <v>133.00899999999999</v>
      </c>
      <c r="P397">
        <v>0</v>
      </c>
      <c r="R397">
        <v>0</v>
      </c>
      <c r="S397">
        <v>0</v>
      </c>
      <c r="T397">
        <v>0</v>
      </c>
      <c r="U397">
        <f t="shared" si="22"/>
        <v>2566.0198806917001</v>
      </c>
    </row>
    <row r="398" spans="1:21" x14ac:dyDescent="0.25">
      <c r="A398" t="s">
        <v>27</v>
      </c>
      <c r="B398" t="str">
        <f t="shared" si="23"/>
        <v>70883521</v>
      </c>
      <c r="C398" t="s">
        <v>195</v>
      </c>
      <c r="D398">
        <v>28160</v>
      </c>
      <c r="E398" t="s">
        <v>502</v>
      </c>
      <c r="F398">
        <v>59</v>
      </c>
      <c r="G398">
        <v>554.61917934250005</v>
      </c>
      <c r="H398">
        <v>318.43402116223001</v>
      </c>
      <c r="I398">
        <v>0</v>
      </c>
      <c r="J398">
        <v>0</v>
      </c>
      <c r="K398">
        <v>0</v>
      </c>
      <c r="L398">
        <v>10</v>
      </c>
      <c r="M398">
        <v>0</v>
      </c>
      <c r="N398">
        <v>34.166699999999999</v>
      </c>
      <c r="O398">
        <v>30.75</v>
      </c>
      <c r="P398">
        <v>0</v>
      </c>
      <c r="R398">
        <v>0</v>
      </c>
      <c r="S398">
        <v>0</v>
      </c>
      <c r="T398">
        <v>0</v>
      </c>
      <c r="U398">
        <f t="shared" si="22"/>
        <v>349.18402116223001</v>
      </c>
    </row>
    <row r="399" spans="1:21" x14ac:dyDescent="0.25">
      <c r="A399" t="s">
        <v>27</v>
      </c>
      <c r="B399" t="str">
        <f t="shared" si="23"/>
        <v>70883521</v>
      </c>
      <c r="C399" t="s">
        <v>195</v>
      </c>
      <c r="D399">
        <v>28610</v>
      </c>
      <c r="E399" t="s">
        <v>503</v>
      </c>
      <c r="F399">
        <v>489</v>
      </c>
      <c r="G399">
        <v>8817.7535519365993</v>
      </c>
      <c r="H399">
        <v>8785.6850783496993</v>
      </c>
      <c r="I399">
        <v>0</v>
      </c>
      <c r="J399">
        <v>0</v>
      </c>
      <c r="K399">
        <v>0</v>
      </c>
      <c r="L399">
        <v>10</v>
      </c>
      <c r="M399">
        <v>0</v>
      </c>
      <c r="N399">
        <v>252.661</v>
      </c>
      <c r="O399">
        <v>227.39500000000001</v>
      </c>
      <c r="P399">
        <v>0</v>
      </c>
      <c r="Q399">
        <v>0</v>
      </c>
      <c r="R399">
        <v>305.69481296359999</v>
      </c>
      <c r="S399">
        <v>305.69481296359999</v>
      </c>
      <c r="T399">
        <v>1216.93</v>
      </c>
      <c r="U399">
        <f t="shared" si="22"/>
        <v>10535.7048913133</v>
      </c>
    </row>
    <row r="400" spans="1:21" x14ac:dyDescent="0.25">
      <c r="A400" t="s">
        <v>27</v>
      </c>
      <c r="B400" t="str">
        <f t="shared" si="23"/>
        <v>70883521</v>
      </c>
      <c r="C400" t="s">
        <v>195</v>
      </c>
      <c r="D400">
        <v>28700</v>
      </c>
      <c r="E400" t="s">
        <v>504</v>
      </c>
      <c r="F400">
        <v>4</v>
      </c>
      <c r="G400">
        <v>55.312998294830003</v>
      </c>
      <c r="H400">
        <v>40.586101030546999</v>
      </c>
      <c r="I400">
        <v>0</v>
      </c>
      <c r="J400">
        <v>0</v>
      </c>
      <c r="K400">
        <v>0</v>
      </c>
      <c r="L400">
        <v>10</v>
      </c>
      <c r="M400">
        <v>0</v>
      </c>
      <c r="N400">
        <v>7.7399999999999997E-2</v>
      </c>
      <c r="O400">
        <v>6.966E-2</v>
      </c>
      <c r="P400">
        <v>0</v>
      </c>
      <c r="R400">
        <v>0</v>
      </c>
      <c r="S400">
        <v>0</v>
      </c>
      <c r="T400">
        <v>0</v>
      </c>
      <c r="U400">
        <f t="shared" si="22"/>
        <v>40.655761030546998</v>
      </c>
    </row>
    <row r="401" spans="1:21" x14ac:dyDescent="0.25">
      <c r="A401" t="s">
        <v>27</v>
      </c>
      <c r="B401" t="str">
        <f t="shared" si="23"/>
        <v>70883521</v>
      </c>
      <c r="C401" t="s">
        <v>195</v>
      </c>
      <c r="D401">
        <v>28810</v>
      </c>
      <c r="E401" t="s">
        <v>297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10</v>
      </c>
      <c r="M401">
        <v>0</v>
      </c>
      <c r="N401">
        <v>0</v>
      </c>
      <c r="O401">
        <v>0</v>
      </c>
      <c r="P401">
        <v>0</v>
      </c>
      <c r="R401">
        <v>0</v>
      </c>
      <c r="S401">
        <v>0</v>
      </c>
      <c r="T401">
        <v>0</v>
      </c>
      <c r="U401">
        <f t="shared" si="22"/>
        <v>0</v>
      </c>
    </row>
    <row r="402" spans="1:21" x14ac:dyDescent="0.25">
      <c r="A402" t="s">
        <v>42</v>
      </c>
      <c r="B402" t="str">
        <f>"68081715"</f>
        <v>68081715</v>
      </c>
      <c r="C402" t="s">
        <v>196</v>
      </c>
      <c r="F402">
        <v>213</v>
      </c>
      <c r="G402">
        <v>10796.388625297001</v>
      </c>
      <c r="H402">
        <v>12500.048835318001</v>
      </c>
      <c r="I402">
        <v>0</v>
      </c>
      <c r="J402">
        <v>0</v>
      </c>
      <c r="K402">
        <v>0</v>
      </c>
      <c r="L402">
        <v>3.75</v>
      </c>
      <c r="M402">
        <v>1</v>
      </c>
      <c r="N402">
        <v>1188.75</v>
      </c>
      <c r="O402">
        <v>1209.19</v>
      </c>
      <c r="P402">
        <v>0</v>
      </c>
      <c r="Q402">
        <v>0</v>
      </c>
      <c r="R402">
        <v>107.1065915165</v>
      </c>
      <c r="S402">
        <v>107.1065915165</v>
      </c>
      <c r="T402">
        <v>527.42899999999997</v>
      </c>
      <c r="U402">
        <f t="shared" si="22"/>
        <v>14343.774426834501</v>
      </c>
    </row>
    <row r="403" spans="1:21" x14ac:dyDescent="0.25">
      <c r="A403" t="s">
        <v>42</v>
      </c>
      <c r="B403" t="str">
        <f>"61388980"</f>
        <v>61388980</v>
      </c>
      <c r="C403" t="s">
        <v>197</v>
      </c>
      <c r="F403">
        <v>375</v>
      </c>
      <c r="G403">
        <v>8407.6479911077004</v>
      </c>
      <c r="H403">
        <v>9761.6404177055992</v>
      </c>
      <c r="I403">
        <v>0</v>
      </c>
      <c r="J403">
        <v>0</v>
      </c>
      <c r="K403">
        <v>0</v>
      </c>
      <c r="L403">
        <v>3</v>
      </c>
      <c r="M403">
        <v>0.57999999999999996</v>
      </c>
      <c r="N403">
        <v>1507.77</v>
      </c>
      <c r="O403">
        <v>1485.1</v>
      </c>
      <c r="P403">
        <v>0</v>
      </c>
      <c r="Q403">
        <v>0</v>
      </c>
      <c r="R403">
        <v>139.5535883583</v>
      </c>
      <c r="S403">
        <v>139.5535883583</v>
      </c>
      <c r="T403">
        <v>789.553</v>
      </c>
      <c r="U403">
        <f t="shared" si="22"/>
        <v>12175.847006063899</v>
      </c>
    </row>
    <row r="404" spans="1:21" x14ac:dyDescent="0.25">
      <c r="A404" t="s">
        <v>198</v>
      </c>
      <c r="B404" t="str">
        <f>"48511005"</f>
        <v>48511005</v>
      </c>
      <c r="C404" t="s">
        <v>199</v>
      </c>
      <c r="F404">
        <v>55</v>
      </c>
      <c r="G404">
        <v>408.67080964004998</v>
      </c>
      <c r="H404">
        <v>334.48514272980998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24.449000000000002</v>
      </c>
      <c r="O404">
        <v>22.004100000000001</v>
      </c>
      <c r="P404">
        <v>0</v>
      </c>
      <c r="R404">
        <v>0</v>
      </c>
      <c r="S404">
        <v>0</v>
      </c>
      <c r="T404">
        <v>0</v>
      </c>
      <c r="U404">
        <f t="shared" si="22"/>
        <v>356.48924272980997</v>
      </c>
    </row>
    <row r="405" spans="1:21" x14ac:dyDescent="0.25">
      <c r="A405" t="s">
        <v>200</v>
      </c>
      <c r="B405" t="str">
        <f>"47325011"</f>
        <v>47325011</v>
      </c>
      <c r="C405" t="s">
        <v>201</v>
      </c>
      <c r="F405">
        <v>22</v>
      </c>
      <c r="G405">
        <v>103.77779246135</v>
      </c>
      <c r="H405">
        <v>88.398591433316994</v>
      </c>
      <c r="I405">
        <v>0</v>
      </c>
      <c r="J405">
        <v>0</v>
      </c>
      <c r="K405">
        <v>0</v>
      </c>
      <c r="L405">
        <v>1</v>
      </c>
      <c r="M405">
        <v>0</v>
      </c>
      <c r="N405">
        <v>8.7858000000000001</v>
      </c>
      <c r="O405">
        <v>7.9072199999999997</v>
      </c>
      <c r="P405">
        <v>0</v>
      </c>
      <c r="R405">
        <v>0</v>
      </c>
      <c r="S405">
        <v>0</v>
      </c>
      <c r="T405">
        <v>0</v>
      </c>
      <c r="U405">
        <f t="shared" si="22"/>
        <v>96.30581143331699</v>
      </c>
    </row>
    <row r="406" spans="1:21" x14ac:dyDescent="0.25">
      <c r="A406" t="s">
        <v>42</v>
      </c>
      <c r="B406" t="str">
        <f>"68081766"</f>
        <v>68081766</v>
      </c>
      <c r="C406" t="s">
        <v>202</v>
      </c>
      <c r="F406">
        <v>508</v>
      </c>
      <c r="G406">
        <v>10031.556888147001</v>
      </c>
      <c r="H406">
        <v>9562.1189897892</v>
      </c>
      <c r="I406">
        <v>0</v>
      </c>
      <c r="J406">
        <v>0</v>
      </c>
      <c r="K406">
        <v>0</v>
      </c>
      <c r="L406">
        <v>2.8</v>
      </c>
      <c r="M406">
        <v>0</v>
      </c>
      <c r="N406">
        <v>1044.6199999999999</v>
      </c>
      <c r="O406">
        <v>940.15800000000002</v>
      </c>
      <c r="P406">
        <v>0</v>
      </c>
      <c r="Q406">
        <v>0</v>
      </c>
      <c r="R406">
        <v>11.823727651700001</v>
      </c>
      <c r="S406">
        <v>11.823727651700001</v>
      </c>
      <c r="T406">
        <v>121.75</v>
      </c>
      <c r="U406">
        <f t="shared" si="22"/>
        <v>10635.850717440899</v>
      </c>
    </row>
    <row r="407" spans="1:21" x14ac:dyDescent="0.25">
      <c r="A407" t="s">
        <v>42</v>
      </c>
      <c r="B407" t="str">
        <f>"68378033"</f>
        <v>68378033</v>
      </c>
      <c r="C407" t="s">
        <v>203</v>
      </c>
      <c r="F407">
        <v>560</v>
      </c>
      <c r="G407">
        <v>3425.2426986026999</v>
      </c>
      <c r="H407">
        <v>3022.4814156654002</v>
      </c>
      <c r="I407">
        <v>0</v>
      </c>
      <c r="J407">
        <v>0</v>
      </c>
      <c r="K407">
        <v>0</v>
      </c>
      <c r="L407">
        <v>3</v>
      </c>
      <c r="M407">
        <v>0.45</v>
      </c>
      <c r="N407">
        <v>457.78800000000001</v>
      </c>
      <c r="O407">
        <v>442.18799999999999</v>
      </c>
      <c r="P407">
        <v>0</v>
      </c>
      <c r="Q407">
        <v>0</v>
      </c>
      <c r="R407">
        <v>48.680995908900002</v>
      </c>
      <c r="S407">
        <v>48.680995908900002</v>
      </c>
      <c r="T407">
        <v>156.714</v>
      </c>
      <c r="U407">
        <f t="shared" si="22"/>
        <v>3670.0644115743003</v>
      </c>
    </row>
    <row r="408" spans="1:21" x14ac:dyDescent="0.25">
      <c r="A408" t="s">
        <v>42</v>
      </c>
      <c r="B408" t="str">
        <f>"61389030"</f>
        <v>61389030</v>
      </c>
      <c r="C408" t="s">
        <v>204</v>
      </c>
      <c r="F408">
        <v>633</v>
      </c>
      <c r="G408">
        <v>18477.111789109</v>
      </c>
      <c r="H408">
        <v>17616.283718120001</v>
      </c>
      <c r="I408">
        <v>0</v>
      </c>
      <c r="J408">
        <v>0</v>
      </c>
      <c r="K408">
        <v>0</v>
      </c>
      <c r="L408">
        <v>7</v>
      </c>
      <c r="M408">
        <v>1.65</v>
      </c>
      <c r="N408">
        <v>2606.77</v>
      </c>
      <c r="O408">
        <v>2616.14</v>
      </c>
      <c r="P408">
        <v>275</v>
      </c>
      <c r="Q408">
        <v>166.66666793823001</v>
      </c>
      <c r="R408">
        <v>58.089574928399998</v>
      </c>
      <c r="S408">
        <v>224.75624286659999</v>
      </c>
      <c r="T408">
        <v>3052.62</v>
      </c>
      <c r="U408">
        <f t="shared" si="22"/>
        <v>23509.799960986598</v>
      </c>
    </row>
    <row r="409" spans="1:21" x14ac:dyDescent="0.25">
      <c r="A409" t="s">
        <v>42</v>
      </c>
      <c r="B409" t="str">
        <f>"68378041"</f>
        <v>68378041</v>
      </c>
      <c r="C409" t="s">
        <v>205</v>
      </c>
      <c r="F409">
        <v>391</v>
      </c>
      <c r="G409">
        <v>9287.2127223005009</v>
      </c>
      <c r="H409">
        <v>8716.0317346074007</v>
      </c>
      <c r="I409">
        <v>0</v>
      </c>
      <c r="J409">
        <v>0</v>
      </c>
      <c r="K409">
        <v>0</v>
      </c>
      <c r="L409">
        <v>5</v>
      </c>
      <c r="M409">
        <v>0</v>
      </c>
      <c r="N409">
        <v>1379.49</v>
      </c>
      <c r="O409">
        <v>1241.54</v>
      </c>
      <c r="P409">
        <v>210</v>
      </c>
      <c r="Q409">
        <v>22.181818008423001</v>
      </c>
      <c r="R409">
        <v>272.76478639530001</v>
      </c>
      <c r="S409">
        <v>294.94660440370001</v>
      </c>
      <c r="T409">
        <v>1023.54</v>
      </c>
      <c r="U409">
        <f t="shared" si="22"/>
        <v>11276.058339011102</v>
      </c>
    </row>
    <row r="410" spans="1:21" x14ac:dyDescent="0.25">
      <c r="A410" t="s">
        <v>42</v>
      </c>
      <c r="B410" t="str">
        <f>"67985882"</f>
        <v>67985882</v>
      </c>
      <c r="C410" t="s">
        <v>206</v>
      </c>
      <c r="F410">
        <v>336</v>
      </c>
      <c r="G410">
        <v>8577.3340375928001</v>
      </c>
      <c r="H410">
        <v>8137.9052574179004</v>
      </c>
      <c r="I410">
        <v>0</v>
      </c>
      <c r="J410">
        <v>0</v>
      </c>
      <c r="K410">
        <v>0</v>
      </c>
      <c r="L410">
        <v>6</v>
      </c>
      <c r="M410">
        <v>3.28</v>
      </c>
      <c r="N410">
        <v>2172.39</v>
      </c>
      <c r="O410">
        <v>2477.0700000000002</v>
      </c>
      <c r="P410">
        <v>0</v>
      </c>
      <c r="Q410">
        <v>0</v>
      </c>
      <c r="R410">
        <v>144.78291017940001</v>
      </c>
      <c r="S410">
        <v>144.78291017940001</v>
      </c>
      <c r="T410">
        <v>629.101</v>
      </c>
      <c r="U410">
        <f t="shared" si="22"/>
        <v>11388.8591675973</v>
      </c>
    </row>
    <row r="411" spans="1:21" x14ac:dyDescent="0.25">
      <c r="A411" t="s">
        <v>42</v>
      </c>
      <c r="B411" t="str">
        <f>"61388955"</f>
        <v>61388955</v>
      </c>
      <c r="C411" t="s">
        <v>207</v>
      </c>
      <c r="F411">
        <v>976</v>
      </c>
      <c r="G411">
        <v>34265.178688767999</v>
      </c>
      <c r="H411">
        <v>39534.269876168</v>
      </c>
      <c r="I411">
        <v>0</v>
      </c>
      <c r="J411">
        <v>0</v>
      </c>
      <c r="K411">
        <v>0</v>
      </c>
      <c r="L411">
        <v>8</v>
      </c>
      <c r="M411">
        <v>3.5</v>
      </c>
      <c r="N411">
        <v>6153.97</v>
      </c>
      <c r="O411">
        <v>6721.83</v>
      </c>
      <c r="P411">
        <v>120</v>
      </c>
      <c r="Q411">
        <v>59.166666507720997</v>
      </c>
      <c r="R411">
        <v>201.10837654159999</v>
      </c>
      <c r="S411">
        <v>260.2750430493</v>
      </c>
      <c r="T411">
        <v>695.23699999999997</v>
      </c>
      <c r="U411">
        <f t="shared" si="22"/>
        <v>47211.611919217306</v>
      </c>
    </row>
    <row r="412" spans="1:21" x14ac:dyDescent="0.25">
      <c r="A412" t="s">
        <v>42</v>
      </c>
      <c r="B412" t="str">
        <f>"68378289"</f>
        <v>68378289</v>
      </c>
      <c r="C412" t="s">
        <v>208</v>
      </c>
      <c r="F412">
        <v>271</v>
      </c>
      <c r="G412">
        <v>5282.3448091527998</v>
      </c>
      <c r="H412">
        <v>5943.2359431505001</v>
      </c>
      <c r="I412">
        <v>0</v>
      </c>
      <c r="J412">
        <v>0</v>
      </c>
      <c r="K412">
        <v>0</v>
      </c>
      <c r="L412">
        <v>4</v>
      </c>
      <c r="M412">
        <v>2.1</v>
      </c>
      <c r="N412">
        <v>1098.69</v>
      </c>
      <c r="O412">
        <v>1242.32</v>
      </c>
      <c r="P412">
        <v>0</v>
      </c>
      <c r="Q412">
        <v>0</v>
      </c>
      <c r="R412">
        <v>36.836266964700002</v>
      </c>
      <c r="S412">
        <v>36.836266964700002</v>
      </c>
      <c r="T412">
        <v>302.70999999999998</v>
      </c>
      <c r="U412">
        <f t="shared" si="22"/>
        <v>7525.1022101152003</v>
      </c>
    </row>
    <row r="413" spans="1:21" x14ac:dyDescent="0.25">
      <c r="A413" t="s">
        <v>42</v>
      </c>
      <c r="B413" t="str">
        <f>"68081723"</f>
        <v>68081723</v>
      </c>
      <c r="C413" t="s">
        <v>209</v>
      </c>
      <c r="F413">
        <v>608</v>
      </c>
      <c r="G413">
        <v>14101.500899713999</v>
      </c>
      <c r="H413">
        <v>14742.964656141001</v>
      </c>
      <c r="I413">
        <v>0</v>
      </c>
      <c r="J413">
        <v>0</v>
      </c>
      <c r="K413">
        <v>0</v>
      </c>
      <c r="L413">
        <v>6</v>
      </c>
      <c r="M413">
        <v>0</v>
      </c>
      <c r="N413">
        <v>1501.44</v>
      </c>
      <c r="O413">
        <v>1351.3</v>
      </c>
      <c r="P413">
        <v>0</v>
      </c>
      <c r="Q413">
        <v>0</v>
      </c>
      <c r="R413">
        <v>160.26086271809999</v>
      </c>
      <c r="S413">
        <v>160.26086271809999</v>
      </c>
      <c r="T413">
        <v>609.37300000000005</v>
      </c>
      <c r="U413">
        <f t="shared" si="22"/>
        <v>16863.8985188591</v>
      </c>
    </row>
    <row r="414" spans="1:21" x14ac:dyDescent="0.25">
      <c r="A414" t="s">
        <v>42</v>
      </c>
      <c r="B414" t="str">
        <f>"61389021"</f>
        <v>61389021</v>
      </c>
      <c r="C414" t="s">
        <v>210</v>
      </c>
      <c r="F414">
        <v>437</v>
      </c>
      <c r="G414">
        <v>7428.4754205010004</v>
      </c>
      <c r="H414">
        <v>8659.2463988256004</v>
      </c>
      <c r="I414">
        <v>0</v>
      </c>
      <c r="J414">
        <v>0</v>
      </c>
      <c r="K414">
        <v>0</v>
      </c>
      <c r="L414">
        <v>6</v>
      </c>
      <c r="M414">
        <v>0</v>
      </c>
      <c r="N414">
        <v>1115.8399999999999</v>
      </c>
      <c r="O414">
        <v>1004.26</v>
      </c>
      <c r="P414">
        <v>50</v>
      </c>
      <c r="Q414">
        <v>30</v>
      </c>
      <c r="R414">
        <v>429.3084203491</v>
      </c>
      <c r="S414">
        <v>459.3084203491</v>
      </c>
      <c r="T414">
        <v>1086.99</v>
      </c>
      <c r="U414">
        <f t="shared" si="22"/>
        <v>11209.8048191747</v>
      </c>
    </row>
    <row r="415" spans="1:21" x14ac:dyDescent="0.25">
      <c r="A415" t="s">
        <v>42</v>
      </c>
      <c r="B415" t="str">
        <f>"68145535"</f>
        <v>68145535</v>
      </c>
      <c r="C415" t="s">
        <v>211</v>
      </c>
      <c r="F415">
        <v>312</v>
      </c>
      <c r="G415">
        <v>5138.7452631377</v>
      </c>
      <c r="H415">
        <v>4463.4324036811004</v>
      </c>
      <c r="I415">
        <v>0</v>
      </c>
      <c r="J415">
        <v>0</v>
      </c>
      <c r="K415">
        <v>0</v>
      </c>
      <c r="L415">
        <v>4.5999999999999996</v>
      </c>
      <c r="M415">
        <v>0.9</v>
      </c>
      <c r="N415">
        <v>543.65700000000004</v>
      </c>
      <c r="O415">
        <v>536.03800000000001</v>
      </c>
      <c r="P415">
        <v>140</v>
      </c>
      <c r="Q415">
        <v>93.809520721436002</v>
      </c>
      <c r="R415">
        <v>50.0040773335</v>
      </c>
      <c r="S415">
        <v>143.81359805490001</v>
      </c>
      <c r="T415">
        <v>1225.9100000000001</v>
      </c>
      <c r="U415">
        <f t="shared" si="22"/>
        <v>6369.1940017359993</v>
      </c>
    </row>
    <row r="416" spans="1:21" x14ac:dyDescent="0.25">
      <c r="A416" t="s">
        <v>65</v>
      </c>
      <c r="B416" t="str">
        <f>"00023736"</f>
        <v>00023736</v>
      </c>
      <c r="C416" t="s">
        <v>212</v>
      </c>
      <c r="F416">
        <v>272</v>
      </c>
      <c r="G416">
        <v>5099.8267512889997</v>
      </c>
      <c r="H416">
        <v>4624.7384357700003</v>
      </c>
      <c r="I416">
        <v>0</v>
      </c>
      <c r="J416">
        <v>0</v>
      </c>
      <c r="K416">
        <v>0</v>
      </c>
      <c r="L416">
        <v>2</v>
      </c>
      <c r="M416">
        <v>0</v>
      </c>
      <c r="N416">
        <v>711.44500000000005</v>
      </c>
      <c r="O416">
        <v>640.29999999999995</v>
      </c>
      <c r="P416">
        <v>0</v>
      </c>
      <c r="Q416">
        <v>0</v>
      </c>
      <c r="R416">
        <v>400.97767682829999</v>
      </c>
      <c r="S416">
        <v>400.97767682829999</v>
      </c>
      <c r="T416">
        <v>1863.12</v>
      </c>
      <c r="U416">
        <f t="shared" si="22"/>
        <v>7529.1361125983003</v>
      </c>
    </row>
    <row r="417" spans="1:21" x14ac:dyDescent="0.25">
      <c r="A417" t="s">
        <v>42</v>
      </c>
      <c r="B417" t="str">
        <f>"67985858"</f>
        <v>67985858</v>
      </c>
      <c r="C417" t="s">
        <v>213</v>
      </c>
      <c r="F417">
        <v>501</v>
      </c>
      <c r="G417">
        <v>13366.897464780999</v>
      </c>
      <c r="H417">
        <v>15264.913973877001</v>
      </c>
      <c r="I417">
        <v>0</v>
      </c>
      <c r="J417">
        <v>0</v>
      </c>
      <c r="K417">
        <v>0</v>
      </c>
      <c r="L417">
        <v>7</v>
      </c>
      <c r="M417">
        <v>0.3</v>
      </c>
      <c r="N417">
        <v>2447.85</v>
      </c>
      <c r="O417">
        <v>2249.17</v>
      </c>
      <c r="P417">
        <v>80</v>
      </c>
      <c r="Q417">
        <v>42.087912082671998</v>
      </c>
      <c r="R417">
        <v>667.40007290259996</v>
      </c>
      <c r="S417">
        <v>709.48798498530005</v>
      </c>
      <c r="T417">
        <v>3049.26</v>
      </c>
      <c r="U417">
        <f t="shared" si="22"/>
        <v>21272.831958862298</v>
      </c>
    </row>
    <row r="418" spans="1:21" x14ac:dyDescent="0.25">
      <c r="A418" t="s">
        <v>42</v>
      </c>
      <c r="B418" t="str">
        <f>"67985807"</f>
        <v>67985807</v>
      </c>
      <c r="C418" t="s">
        <v>214</v>
      </c>
      <c r="F418">
        <v>506</v>
      </c>
      <c r="G418">
        <v>9572.3042371050997</v>
      </c>
      <c r="H418">
        <v>7787.2361308374002</v>
      </c>
      <c r="I418">
        <v>0</v>
      </c>
      <c r="J418">
        <v>0</v>
      </c>
      <c r="K418">
        <v>0</v>
      </c>
      <c r="L418">
        <v>5</v>
      </c>
      <c r="M418">
        <v>0</v>
      </c>
      <c r="N418">
        <v>1300.43</v>
      </c>
      <c r="O418">
        <v>1170.3900000000001</v>
      </c>
      <c r="P418">
        <v>20</v>
      </c>
      <c r="Q418">
        <v>6.6666665077209002</v>
      </c>
      <c r="R418">
        <v>20.5602653127</v>
      </c>
      <c r="S418">
        <v>27.226931820400001</v>
      </c>
      <c r="T418">
        <v>424.85500000000002</v>
      </c>
      <c r="U418">
        <f t="shared" si="22"/>
        <v>9409.708062657799</v>
      </c>
    </row>
    <row r="419" spans="1:21" x14ac:dyDescent="0.25">
      <c r="A419" t="s">
        <v>42</v>
      </c>
      <c r="B419" t="str">
        <f>"61389005"</f>
        <v>61389005</v>
      </c>
      <c r="C419" t="s">
        <v>215</v>
      </c>
      <c r="F419">
        <v>815</v>
      </c>
      <c r="G419">
        <v>12620.421644541</v>
      </c>
      <c r="H419">
        <v>17439.973277822999</v>
      </c>
      <c r="I419">
        <v>0</v>
      </c>
      <c r="J419">
        <v>0</v>
      </c>
      <c r="K419">
        <v>0</v>
      </c>
      <c r="L419">
        <v>10</v>
      </c>
      <c r="M419">
        <v>1.23</v>
      </c>
      <c r="N419">
        <v>2112.0500000000002</v>
      </c>
      <c r="O419">
        <v>2015.02</v>
      </c>
      <c r="P419">
        <v>0</v>
      </c>
      <c r="Q419">
        <v>0</v>
      </c>
      <c r="R419">
        <v>80.791972071299995</v>
      </c>
      <c r="S419">
        <v>80.791972071299995</v>
      </c>
      <c r="T419">
        <v>382.33800000000002</v>
      </c>
      <c r="U419">
        <f t="shared" si="22"/>
        <v>19918.123249894299</v>
      </c>
    </row>
    <row r="420" spans="1:21" x14ac:dyDescent="0.25">
      <c r="A420" t="s">
        <v>42</v>
      </c>
      <c r="B420" t="str">
        <f>"61389013"</f>
        <v>61389013</v>
      </c>
      <c r="C420" t="s">
        <v>216</v>
      </c>
      <c r="F420">
        <v>976</v>
      </c>
      <c r="G420">
        <v>29991.078442800001</v>
      </c>
      <c r="H420">
        <v>33923.057529477999</v>
      </c>
      <c r="I420">
        <v>0</v>
      </c>
      <c r="J420">
        <v>0</v>
      </c>
      <c r="K420">
        <v>0</v>
      </c>
      <c r="L420">
        <v>13.76</v>
      </c>
      <c r="M420">
        <v>1</v>
      </c>
      <c r="N420">
        <v>3943.58</v>
      </c>
      <c r="O420">
        <v>3675.18</v>
      </c>
      <c r="P420">
        <v>380</v>
      </c>
      <c r="Q420">
        <v>273</v>
      </c>
      <c r="R420">
        <v>286.64664070769999</v>
      </c>
      <c r="S420">
        <v>559.64664070770004</v>
      </c>
      <c r="T420">
        <v>2195.21</v>
      </c>
      <c r="U420">
        <f t="shared" si="22"/>
        <v>40353.094170185701</v>
      </c>
    </row>
    <row r="421" spans="1:21" x14ac:dyDescent="0.25">
      <c r="A421" t="s">
        <v>27</v>
      </c>
      <c r="B421" t="str">
        <f>"48546054"</f>
        <v>48546054</v>
      </c>
      <c r="C421" t="s">
        <v>217</v>
      </c>
      <c r="F421">
        <v>211</v>
      </c>
      <c r="G421">
        <v>3548.3703803144999</v>
      </c>
      <c r="H421">
        <v>2909.491699749</v>
      </c>
      <c r="I421">
        <v>0</v>
      </c>
      <c r="J421">
        <v>0</v>
      </c>
      <c r="K421">
        <v>0</v>
      </c>
      <c r="L421">
        <v>1</v>
      </c>
      <c r="M421">
        <v>0</v>
      </c>
      <c r="N421">
        <v>310.28300000000002</v>
      </c>
      <c r="O421">
        <v>279.255</v>
      </c>
      <c r="P421">
        <v>0</v>
      </c>
      <c r="Q421">
        <v>0</v>
      </c>
      <c r="R421">
        <v>33.203043370099998</v>
      </c>
      <c r="S421">
        <v>33.203043370099998</v>
      </c>
      <c r="T421">
        <v>150.518</v>
      </c>
      <c r="U421">
        <f t="shared" si="22"/>
        <v>3372.4677431191003</v>
      </c>
    </row>
    <row r="422" spans="1:21" x14ac:dyDescent="0.25">
      <c r="A422" t="s">
        <v>42</v>
      </c>
      <c r="B422" t="str">
        <f>"68378050"</f>
        <v>68378050</v>
      </c>
      <c r="C422" t="s">
        <v>218</v>
      </c>
      <c r="F422">
        <v>413</v>
      </c>
      <c r="G422">
        <v>14732.306672534</v>
      </c>
      <c r="H422">
        <v>14203.939795820001</v>
      </c>
      <c r="I422">
        <v>1</v>
      </c>
      <c r="J422">
        <v>1</v>
      </c>
      <c r="K422">
        <v>2000</v>
      </c>
      <c r="L422">
        <v>12.9</v>
      </c>
      <c r="M422">
        <v>3.8</v>
      </c>
      <c r="N422">
        <v>2776.21</v>
      </c>
      <c r="O422">
        <v>2858</v>
      </c>
      <c r="P422">
        <v>90</v>
      </c>
      <c r="Q422">
        <v>17.466735124587998</v>
      </c>
      <c r="R422">
        <v>724.27157286859995</v>
      </c>
      <c r="S422">
        <v>741.73830799320001</v>
      </c>
      <c r="T422">
        <v>3380.47</v>
      </c>
      <c r="U422">
        <f t="shared" si="22"/>
        <v>23184.148103813201</v>
      </c>
    </row>
    <row r="423" spans="1:21" x14ac:dyDescent="0.25">
      <c r="A423" t="s">
        <v>42</v>
      </c>
      <c r="B423" t="str">
        <f>"61388963"</f>
        <v>61388963</v>
      </c>
      <c r="C423" t="s">
        <v>219</v>
      </c>
      <c r="F423">
        <v>1408</v>
      </c>
      <c r="G423">
        <v>49415.587246615003</v>
      </c>
      <c r="H423">
        <v>57253.431565434999</v>
      </c>
      <c r="I423">
        <v>0</v>
      </c>
      <c r="J423">
        <v>0</v>
      </c>
      <c r="K423">
        <v>0</v>
      </c>
      <c r="L423">
        <v>16.670000000000002</v>
      </c>
      <c r="M423">
        <v>8.9</v>
      </c>
      <c r="N423">
        <v>9820.85</v>
      </c>
      <c r="O423">
        <v>11143.1</v>
      </c>
      <c r="P423">
        <v>220</v>
      </c>
      <c r="Q423">
        <v>162</v>
      </c>
      <c r="R423">
        <v>401.9227349889</v>
      </c>
      <c r="S423">
        <v>563.92273498889995</v>
      </c>
      <c r="T423">
        <v>3451.41</v>
      </c>
      <c r="U423">
        <f t="shared" si="22"/>
        <v>72411.864300423898</v>
      </c>
    </row>
    <row r="424" spans="1:21" x14ac:dyDescent="0.25">
      <c r="A424" t="s">
        <v>42</v>
      </c>
      <c r="B424" t="str">
        <f>"68378068"</f>
        <v>68378068</v>
      </c>
      <c r="C424" t="s">
        <v>220</v>
      </c>
      <c r="F424">
        <v>357</v>
      </c>
      <c r="G424">
        <v>4779.5849325963</v>
      </c>
      <c r="H424">
        <v>4329.9388267781997</v>
      </c>
      <c r="I424">
        <v>0</v>
      </c>
      <c r="J424">
        <v>0</v>
      </c>
      <c r="K424">
        <v>0</v>
      </c>
      <c r="L424">
        <v>4.5</v>
      </c>
      <c r="M424">
        <v>2.5</v>
      </c>
      <c r="N424">
        <v>878.60299999999995</v>
      </c>
      <c r="O424">
        <v>1005.26</v>
      </c>
      <c r="P424">
        <v>0</v>
      </c>
      <c r="Q424">
        <v>0</v>
      </c>
      <c r="R424">
        <v>70.081312919699997</v>
      </c>
      <c r="S424">
        <v>70.081312919699997</v>
      </c>
      <c r="T424">
        <v>223.68899999999999</v>
      </c>
      <c r="U424">
        <f t="shared" si="22"/>
        <v>5628.9691396979006</v>
      </c>
    </row>
    <row r="425" spans="1:21" x14ac:dyDescent="0.25">
      <c r="A425" t="s">
        <v>42</v>
      </c>
      <c r="B425" t="str">
        <f>"67985874"</f>
        <v>67985874</v>
      </c>
      <c r="C425" t="s">
        <v>221</v>
      </c>
      <c r="F425">
        <v>134</v>
      </c>
      <c r="G425">
        <v>3040.8055357643998</v>
      </c>
      <c r="H425">
        <v>3963.5047878587998</v>
      </c>
      <c r="I425">
        <v>0</v>
      </c>
      <c r="J425">
        <v>0</v>
      </c>
      <c r="K425">
        <v>0</v>
      </c>
      <c r="L425">
        <v>3</v>
      </c>
      <c r="M425">
        <v>0.6</v>
      </c>
      <c r="N425">
        <v>314.83199999999999</v>
      </c>
      <c r="O425">
        <v>311.02199999999999</v>
      </c>
      <c r="P425">
        <v>0</v>
      </c>
      <c r="Q425">
        <v>0</v>
      </c>
      <c r="R425">
        <v>20.791279529699999</v>
      </c>
      <c r="S425">
        <v>20.791279529699999</v>
      </c>
      <c r="T425">
        <v>215.422</v>
      </c>
      <c r="U425">
        <f t="shared" si="22"/>
        <v>4510.7400673884995</v>
      </c>
    </row>
    <row r="426" spans="1:21" x14ac:dyDescent="0.25">
      <c r="A426" t="s">
        <v>42</v>
      </c>
      <c r="B426" t="str">
        <f>"68378092"</f>
        <v>68378092</v>
      </c>
      <c r="C426" t="s">
        <v>222</v>
      </c>
      <c r="F426">
        <v>342</v>
      </c>
      <c r="G426">
        <v>3435.9398721399998</v>
      </c>
      <c r="H426">
        <v>2727.4108955247998</v>
      </c>
      <c r="I426">
        <v>0</v>
      </c>
      <c r="J426">
        <v>0</v>
      </c>
      <c r="K426">
        <v>0</v>
      </c>
      <c r="L426">
        <v>5.4</v>
      </c>
      <c r="M426">
        <v>2.4</v>
      </c>
      <c r="N426">
        <v>320.375</v>
      </c>
      <c r="O426">
        <v>350.91500000000002</v>
      </c>
      <c r="P426">
        <v>0</v>
      </c>
      <c r="Q426">
        <v>0</v>
      </c>
      <c r="R426">
        <v>174.45773641720001</v>
      </c>
      <c r="S426">
        <v>174.45773641720001</v>
      </c>
      <c r="T426">
        <v>352.875</v>
      </c>
      <c r="U426">
        <f t="shared" si="22"/>
        <v>3605.6586319419998</v>
      </c>
    </row>
    <row r="427" spans="1:21" x14ac:dyDescent="0.25">
      <c r="A427" t="s">
        <v>65</v>
      </c>
      <c r="B427" t="str">
        <f>"00023698"</f>
        <v>00023698</v>
      </c>
      <c r="C427" t="s">
        <v>223</v>
      </c>
      <c r="F427">
        <v>51</v>
      </c>
      <c r="G427">
        <v>477.60479645808999</v>
      </c>
      <c r="H427">
        <v>411.62862245168998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22.284700000000001</v>
      </c>
      <c r="O427">
        <v>20.0562</v>
      </c>
      <c r="P427">
        <v>0</v>
      </c>
      <c r="Q427">
        <v>0</v>
      </c>
      <c r="R427">
        <v>13.125807783799999</v>
      </c>
      <c r="S427">
        <v>13.125807783799999</v>
      </c>
      <c r="T427">
        <v>14.0039</v>
      </c>
      <c r="U427">
        <f t="shared" si="22"/>
        <v>458.81453023548994</v>
      </c>
    </row>
    <row r="428" spans="1:21" x14ac:dyDescent="0.25">
      <c r="A428" t="s">
        <v>42</v>
      </c>
      <c r="B428" t="str">
        <f>"68378114"</f>
        <v>68378114</v>
      </c>
      <c r="C428" t="s">
        <v>224</v>
      </c>
      <c r="F428">
        <v>376</v>
      </c>
      <c r="G428">
        <v>3884.5118142869001</v>
      </c>
      <c r="H428">
        <v>3344.4015881544001</v>
      </c>
      <c r="I428">
        <v>0</v>
      </c>
      <c r="J428">
        <v>0</v>
      </c>
      <c r="K428">
        <v>0</v>
      </c>
      <c r="L428">
        <v>3</v>
      </c>
      <c r="M428">
        <v>1</v>
      </c>
      <c r="N428">
        <v>445.54599999999999</v>
      </c>
      <c r="O428">
        <v>466.262</v>
      </c>
      <c r="P428">
        <v>0</v>
      </c>
      <c r="Q428">
        <v>0</v>
      </c>
      <c r="R428">
        <v>66.931119051600007</v>
      </c>
      <c r="S428">
        <v>66.931119051600007</v>
      </c>
      <c r="T428">
        <v>205.64599999999999</v>
      </c>
      <c r="U428">
        <f t="shared" si="22"/>
        <v>4083.2407072060005</v>
      </c>
    </row>
    <row r="429" spans="1:21" x14ac:dyDescent="0.25">
      <c r="A429" t="s">
        <v>27</v>
      </c>
      <c r="B429" t="str">
        <f>"75112779"</f>
        <v>75112779</v>
      </c>
      <c r="C429" t="s">
        <v>225</v>
      </c>
      <c r="F429">
        <v>113</v>
      </c>
      <c r="G429">
        <v>1896.673856847</v>
      </c>
      <c r="H429">
        <v>1520.2766117391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R429">
        <v>0</v>
      </c>
      <c r="S429">
        <v>0</v>
      </c>
      <c r="T429">
        <v>0</v>
      </c>
      <c r="U429">
        <f t="shared" si="22"/>
        <v>1520.2766117391</v>
      </c>
    </row>
    <row r="430" spans="1:21" x14ac:dyDescent="0.25">
      <c r="A430" t="s">
        <v>42</v>
      </c>
      <c r="B430" t="str">
        <f>"68081731"</f>
        <v>68081731</v>
      </c>
      <c r="C430" t="s">
        <v>226</v>
      </c>
      <c r="F430">
        <v>327</v>
      </c>
      <c r="G430">
        <v>8654.8423266460995</v>
      </c>
      <c r="H430">
        <v>9692.8875607245009</v>
      </c>
      <c r="I430">
        <v>0</v>
      </c>
      <c r="J430">
        <v>0</v>
      </c>
      <c r="K430">
        <v>0</v>
      </c>
      <c r="L430">
        <v>5</v>
      </c>
      <c r="M430">
        <v>2.0299999999999998</v>
      </c>
      <c r="N430">
        <v>1807.35</v>
      </c>
      <c r="O430">
        <v>1949.1</v>
      </c>
      <c r="P430">
        <v>220</v>
      </c>
      <c r="Q430">
        <v>106.66666650772</v>
      </c>
      <c r="R430">
        <v>670.84428486510001</v>
      </c>
      <c r="S430">
        <v>777.51095137280004</v>
      </c>
      <c r="T430">
        <v>2935.72</v>
      </c>
      <c r="U430">
        <f t="shared" si="22"/>
        <v>15355.218512097301</v>
      </c>
    </row>
    <row r="431" spans="1:21" x14ac:dyDescent="0.25">
      <c r="A431" t="s">
        <v>42</v>
      </c>
      <c r="B431" t="str">
        <f>"68378122"</f>
        <v>68378122</v>
      </c>
      <c r="C431" t="s">
        <v>227</v>
      </c>
      <c r="F431">
        <v>253</v>
      </c>
      <c r="G431">
        <v>1840.7943482539999</v>
      </c>
      <c r="H431">
        <v>1523.6365403809</v>
      </c>
      <c r="I431">
        <v>0</v>
      </c>
      <c r="J431">
        <v>0</v>
      </c>
      <c r="K431">
        <v>0</v>
      </c>
      <c r="L431">
        <v>2</v>
      </c>
      <c r="M431">
        <v>0</v>
      </c>
      <c r="N431">
        <v>222.94800000000001</v>
      </c>
      <c r="O431">
        <v>200.65299999999999</v>
      </c>
      <c r="P431">
        <v>0</v>
      </c>
      <c r="R431">
        <v>0</v>
      </c>
      <c r="S431">
        <v>0</v>
      </c>
      <c r="T431">
        <v>0</v>
      </c>
      <c r="U431">
        <f t="shared" si="22"/>
        <v>1724.2895403809</v>
      </c>
    </row>
    <row r="432" spans="1:21" x14ac:dyDescent="0.25">
      <c r="A432" t="s">
        <v>42</v>
      </c>
      <c r="B432" t="str">
        <f>"67985891"</f>
        <v>67985891</v>
      </c>
      <c r="C432" t="s">
        <v>228</v>
      </c>
      <c r="F432">
        <v>293</v>
      </c>
      <c r="G432">
        <v>5480.243606086</v>
      </c>
      <c r="H432">
        <v>5197.6555572381003</v>
      </c>
      <c r="I432">
        <v>0</v>
      </c>
      <c r="J432">
        <v>0</v>
      </c>
      <c r="K432">
        <v>0</v>
      </c>
      <c r="L432">
        <v>5.09</v>
      </c>
      <c r="M432">
        <v>0</v>
      </c>
      <c r="N432">
        <v>681.74900000000002</v>
      </c>
      <c r="O432">
        <v>613.57399999999996</v>
      </c>
      <c r="P432">
        <v>50</v>
      </c>
      <c r="Q432">
        <v>22.727272748947001</v>
      </c>
      <c r="R432">
        <v>83.3751310432</v>
      </c>
      <c r="S432">
        <v>106.10240379210001</v>
      </c>
      <c r="T432">
        <v>1405.24</v>
      </c>
      <c r="U432">
        <f t="shared" si="22"/>
        <v>7322.5719610301994</v>
      </c>
    </row>
    <row r="433" spans="1:21" x14ac:dyDescent="0.25">
      <c r="A433" t="s">
        <v>42</v>
      </c>
      <c r="B433" t="str">
        <f>"68378297"</f>
        <v>68378297</v>
      </c>
      <c r="C433" t="s">
        <v>229</v>
      </c>
      <c r="F433">
        <v>309</v>
      </c>
      <c r="G433">
        <v>4503.3541668569997</v>
      </c>
      <c r="H433">
        <v>3833.3606497512001</v>
      </c>
      <c r="I433">
        <v>0</v>
      </c>
      <c r="J433">
        <v>0</v>
      </c>
      <c r="K433">
        <v>0</v>
      </c>
      <c r="L433">
        <v>3</v>
      </c>
      <c r="M433">
        <v>0</v>
      </c>
      <c r="N433">
        <v>323.07799999999997</v>
      </c>
      <c r="O433">
        <v>290.77</v>
      </c>
      <c r="P433">
        <v>20</v>
      </c>
      <c r="Q433">
        <v>20</v>
      </c>
      <c r="R433">
        <v>526.50240182719995</v>
      </c>
      <c r="S433">
        <v>546.50240182719995</v>
      </c>
      <c r="T433">
        <v>1930.47</v>
      </c>
      <c r="U433">
        <f t="shared" si="22"/>
        <v>6601.1030515783996</v>
      </c>
    </row>
    <row r="434" spans="1:21" x14ac:dyDescent="0.25">
      <c r="A434" t="s">
        <v>42</v>
      </c>
      <c r="B434" t="str">
        <f>"67985556"</f>
        <v>67985556</v>
      </c>
      <c r="C434" t="s">
        <v>230</v>
      </c>
      <c r="F434">
        <v>645</v>
      </c>
      <c r="G434">
        <v>13934.478151556001</v>
      </c>
      <c r="H434">
        <v>11041.224792608</v>
      </c>
      <c r="I434">
        <v>0</v>
      </c>
      <c r="J434">
        <v>0</v>
      </c>
      <c r="K434">
        <v>0</v>
      </c>
      <c r="L434">
        <v>7</v>
      </c>
      <c r="M434">
        <v>0</v>
      </c>
      <c r="N434">
        <v>1457.81</v>
      </c>
      <c r="O434">
        <v>1312.03</v>
      </c>
      <c r="P434">
        <v>0</v>
      </c>
      <c r="Q434">
        <v>0</v>
      </c>
      <c r="R434">
        <v>317.32952898320002</v>
      </c>
      <c r="S434">
        <v>317.32952898320002</v>
      </c>
      <c r="T434">
        <v>1240.17</v>
      </c>
      <c r="U434">
        <f t="shared" si="22"/>
        <v>13910.754321591201</v>
      </c>
    </row>
    <row r="435" spans="1:21" x14ac:dyDescent="0.25">
      <c r="A435" t="s">
        <v>42</v>
      </c>
      <c r="B435" t="str">
        <f>"61388998"</f>
        <v>61388998</v>
      </c>
      <c r="C435" t="s">
        <v>231</v>
      </c>
      <c r="F435">
        <v>419</v>
      </c>
      <c r="G435">
        <v>9813.0777213259007</v>
      </c>
      <c r="H435">
        <v>12037.739952399999</v>
      </c>
      <c r="I435">
        <v>0</v>
      </c>
      <c r="J435">
        <v>0</v>
      </c>
      <c r="K435">
        <v>0</v>
      </c>
      <c r="L435">
        <v>8.1999999999999993</v>
      </c>
      <c r="M435">
        <v>0</v>
      </c>
      <c r="N435">
        <v>1178.97</v>
      </c>
      <c r="O435">
        <v>1061.07</v>
      </c>
      <c r="P435">
        <v>50</v>
      </c>
      <c r="Q435">
        <v>30</v>
      </c>
      <c r="R435">
        <v>373.7810031002</v>
      </c>
      <c r="S435">
        <v>403.7810031002</v>
      </c>
      <c r="T435">
        <v>1079.17</v>
      </c>
      <c r="U435">
        <f t="shared" si="22"/>
        <v>14581.7609555002</v>
      </c>
    </row>
    <row r="436" spans="1:21" x14ac:dyDescent="0.25">
      <c r="A436" t="s">
        <v>29</v>
      </c>
      <c r="B436" t="str">
        <f>"00027251"</f>
        <v>00027251</v>
      </c>
      <c r="C436" t="s">
        <v>232</v>
      </c>
      <c r="F436">
        <v>69</v>
      </c>
      <c r="G436">
        <v>796.21883359772005</v>
      </c>
      <c r="H436">
        <v>564.10323192660996</v>
      </c>
      <c r="I436">
        <v>0</v>
      </c>
      <c r="J436">
        <v>0</v>
      </c>
      <c r="K436">
        <v>0</v>
      </c>
      <c r="L436">
        <v>1</v>
      </c>
      <c r="M436">
        <v>0</v>
      </c>
      <c r="N436">
        <v>207.822</v>
      </c>
      <c r="O436">
        <v>187.04</v>
      </c>
      <c r="P436">
        <v>0</v>
      </c>
      <c r="Q436">
        <v>0</v>
      </c>
      <c r="R436">
        <v>1.0290633303000001</v>
      </c>
      <c r="S436">
        <v>1.0290633303000001</v>
      </c>
      <c r="T436">
        <v>552.66</v>
      </c>
      <c r="U436">
        <f t="shared" si="22"/>
        <v>1304.8322952569099</v>
      </c>
    </row>
    <row r="437" spans="1:21" x14ac:dyDescent="0.25">
      <c r="A437" t="s">
        <v>42</v>
      </c>
      <c r="B437" t="str">
        <f>"67985904"</f>
        <v>67985904</v>
      </c>
      <c r="C437" t="s">
        <v>233</v>
      </c>
      <c r="F437">
        <v>319</v>
      </c>
      <c r="G437">
        <v>5085.4169174098997</v>
      </c>
      <c r="H437">
        <v>4909.2202035179998</v>
      </c>
      <c r="I437">
        <v>0</v>
      </c>
      <c r="J437">
        <v>0</v>
      </c>
      <c r="K437">
        <v>0</v>
      </c>
      <c r="L437">
        <v>5</v>
      </c>
      <c r="M437">
        <v>1</v>
      </c>
      <c r="N437">
        <v>709.346</v>
      </c>
      <c r="O437">
        <v>700.76099999999997</v>
      </c>
      <c r="P437">
        <v>0</v>
      </c>
      <c r="Q437">
        <v>0</v>
      </c>
      <c r="R437">
        <v>114.2890335358</v>
      </c>
      <c r="S437">
        <v>114.2890335358</v>
      </c>
      <c r="T437">
        <v>463.67700000000002</v>
      </c>
      <c r="U437">
        <f t="shared" si="22"/>
        <v>6187.9472370537997</v>
      </c>
    </row>
    <row r="438" spans="1:21" x14ac:dyDescent="0.25">
      <c r="A438" t="s">
        <v>56</v>
      </c>
      <c r="B438" t="str">
        <f>"61383082"</f>
        <v>61383082</v>
      </c>
      <c r="C438" t="s">
        <v>234</v>
      </c>
      <c r="F438">
        <v>231</v>
      </c>
      <c r="G438">
        <v>2107.3132238030998</v>
      </c>
      <c r="H438">
        <v>1867.5342081178001</v>
      </c>
      <c r="I438">
        <v>0</v>
      </c>
      <c r="J438">
        <v>0</v>
      </c>
      <c r="K438">
        <v>0</v>
      </c>
      <c r="L438">
        <v>1</v>
      </c>
      <c r="M438">
        <v>0</v>
      </c>
      <c r="N438">
        <v>222.405</v>
      </c>
      <c r="O438">
        <v>200.16499999999999</v>
      </c>
      <c r="P438">
        <v>0</v>
      </c>
      <c r="Q438">
        <v>0</v>
      </c>
      <c r="R438">
        <v>526.0823759781</v>
      </c>
      <c r="S438">
        <v>526.0823759781</v>
      </c>
      <c r="T438">
        <v>1641.22</v>
      </c>
      <c r="U438">
        <f t="shared" si="22"/>
        <v>4235.0015840959004</v>
      </c>
    </row>
    <row r="439" spans="1:21" x14ac:dyDescent="0.25">
      <c r="A439" t="s">
        <v>101</v>
      </c>
      <c r="B439" t="str">
        <f>"00098604"</f>
        <v>00098604</v>
      </c>
      <c r="C439" t="s">
        <v>235</v>
      </c>
      <c r="F439">
        <v>7</v>
      </c>
      <c r="G439">
        <v>142.08804382116</v>
      </c>
      <c r="H439">
        <v>121.67601994667</v>
      </c>
      <c r="I439">
        <v>0</v>
      </c>
      <c r="J439">
        <v>0</v>
      </c>
      <c r="K439">
        <v>0</v>
      </c>
      <c r="L439">
        <v>1</v>
      </c>
      <c r="M439">
        <v>0</v>
      </c>
      <c r="N439">
        <v>5.8319999999999999</v>
      </c>
      <c r="O439">
        <v>5.2488000000000001</v>
      </c>
      <c r="P439">
        <v>0</v>
      </c>
      <c r="R439">
        <v>0</v>
      </c>
      <c r="S439">
        <v>0</v>
      </c>
      <c r="T439">
        <v>0</v>
      </c>
      <c r="U439">
        <f t="shared" si="22"/>
        <v>126.92481994667</v>
      </c>
    </row>
    <row r="440" spans="1:21" x14ac:dyDescent="0.25">
      <c r="A440" t="s">
        <v>27</v>
      </c>
      <c r="B440" t="str">
        <f>"62157124"</f>
        <v>62157124</v>
      </c>
      <c r="C440" t="s">
        <v>236</v>
      </c>
      <c r="D440">
        <v>16170</v>
      </c>
      <c r="E440" t="s">
        <v>505</v>
      </c>
      <c r="F440">
        <v>470</v>
      </c>
      <c r="G440">
        <v>6406.3160193701997</v>
      </c>
      <c r="H440">
        <v>6231.5854000456002</v>
      </c>
      <c r="I440">
        <v>0</v>
      </c>
      <c r="J440">
        <v>0</v>
      </c>
      <c r="K440">
        <v>0</v>
      </c>
      <c r="L440">
        <v>5</v>
      </c>
      <c r="M440">
        <v>0</v>
      </c>
      <c r="N440">
        <v>594.59699999999998</v>
      </c>
      <c r="O440">
        <v>535.13699999999994</v>
      </c>
      <c r="P440">
        <v>0</v>
      </c>
      <c r="Q440">
        <v>0</v>
      </c>
      <c r="R440">
        <v>88.079420553000006</v>
      </c>
      <c r="S440">
        <v>88.079420553000006</v>
      </c>
      <c r="T440">
        <v>274.21199999999999</v>
      </c>
      <c r="U440">
        <f t="shared" si="22"/>
        <v>7129.0138205986004</v>
      </c>
    </row>
    <row r="441" spans="1:21" x14ac:dyDescent="0.25">
      <c r="A441" t="s">
        <v>27</v>
      </c>
      <c r="B441" t="str">
        <f>"62157124"</f>
        <v>62157124</v>
      </c>
      <c r="C441" t="s">
        <v>236</v>
      </c>
      <c r="D441">
        <v>16270</v>
      </c>
      <c r="E441" t="s">
        <v>506</v>
      </c>
      <c r="F441">
        <v>611</v>
      </c>
      <c r="G441">
        <v>8465.1343643827004</v>
      </c>
      <c r="H441">
        <v>8355.4093725864004</v>
      </c>
      <c r="I441">
        <v>0</v>
      </c>
      <c r="J441">
        <v>0</v>
      </c>
      <c r="K441">
        <v>0</v>
      </c>
      <c r="L441">
        <v>5</v>
      </c>
      <c r="M441">
        <v>0</v>
      </c>
      <c r="N441">
        <v>927.60299999999995</v>
      </c>
      <c r="O441">
        <v>834.84299999999996</v>
      </c>
      <c r="P441">
        <v>0</v>
      </c>
      <c r="Q441">
        <v>0</v>
      </c>
      <c r="R441">
        <v>168.93439650170001</v>
      </c>
      <c r="S441">
        <v>168.93439650170001</v>
      </c>
      <c r="T441">
        <v>222.334</v>
      </c>
      <c r="U441">
        <f t="shared" si="22"/>
        <v>9581.5207690881016</v>
      </c>
    </row>
    <row r="442" spans="1:21" x14ac:dyDescent="0.25">
      <c r="A442" t="s">
        <v>27</v>
      </c>
      <c r="B442" t="str">
        <f>"62157124"</f>
        <v>62157124</v>
      </c>
      <c r="C442" t="s">
        <v>236</v>
      </c>
      <c r="D442">
        <v>16370</v>
      </c>
      <c r="E442" t="s">
        <v>507</v>
      </c>
      <c r="F442">
        <v>272</v>
      </c>
      <c r="G442">
        <v>4145.5668995766</v>
      </c>
      <c r="H442">
        <v>3746.5524389991001</v>
      </c>
      <c r="I442">
        <v>0</v>
      </c>
      <c r="J442">
        <v>0</v>
      </c>
      <c r="K442">
        <v>0</v>
      </c>
      <c r="L442">
        <v>5</v>
      </c>
      <c r="M442">
        <v>0</v>
      </c>
      <c r="N442">
        <v>365.291</v>
      </c>
      <c r="O442">
        <v>328.762</v>
      </c>
      <c r="P442">
        <v>0</v>
      </c>
      <c r="Q442">
        <v>0</v>
      </c>
      <c r="R442">
        <v>58.677611116999998</v>
      </c>
      <c r="S442">
        <v>58.677611116999998</v>
      </c>
      <c r="T442">
        <v>257.92500000000001</v>
      </c>
      <c r="U442">
        <f t="shared" si="22"/>
        <v>4391.9170501161007</v>
      </c>
    </row>
    <row r="443" spans="1:21" x14ac:dyDescent="0.25">
      <c r="A443" t="s">
        <v>27</v>
      </c>
      <c r="B443" t="str">
        <f>"62157124"</f>
        <v>62157124</v>
      </c>
      <c r="C443" t="s">
        <v>236</v>
      </c>
      <c r="D443">
        <v>16610</v>
      </c>
      <c r="E443" t="s">
        <v>508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5</v>
      </c>
      <c r="M443">
        <v>0</v>
      </c>
      <c r="N443">
        <v>0</v>
      </c>
      <c r="O443">
        <v>0</v>
      </c>
      <c r="P443">
        <v>0</v>
      </c>
      <c r="R443">
        <v>0</v>
      </c>
      <c r="S443">
        <v>0</v>
      </c>
      <c r="T443">
        <v>0</v>
      </c>
      <c r="U443">
        <f t="shared" si="22"/>
        <v>0</v>
      </c>
    </row>
    <row r="444" spans="1:21" x14ac:dyDescent="0.25">
      <c r="A444" t="s">
        <v>27</v>
      </c>
      <c r="B444" t="str">
        <f>"62157124"</f>
        <v>62157124</v>
      </c>
      <c r="C444" t="s">
        <v>236</v>
      </c>
      <c r="D444">
        <v>16810</v>
      </c>
      <c r="E444" t="s">
        <v>297</v>
      </c>
      <c r="F444">
        <v>119</v>
      </c>
      <c r="G444">
        <v>911.24497903081999</v>
      </c>
      <c r="H444">
        <v>845.09432315254003</v>
      </c>
      <c r="I444">
        <v>0</v>
      </c>
      <c r="J444">
        <v>0</v>
      </c>
      <c r="K444">
        <v>0</v>
      </c>
      <c r="L444">
        <v>5</v>
      </c>
      <c r="M444">
        <v>0</v>
      </c>
      <c r="N444">
        <v>13.959899999999999</v>
      </c>
      <c r="O444">
        <v>12.5639</v>
      </c>
      <c r="P444">
        <v>0</v>
      </c>
      <c r="Q444">
        <v>0</v>
      </c>
      <c r="R444">
        <v>26.650640124399999</v>
      </c>
      <c r="S444">
        <v>26.650640124399999</v>
      </c>
      <c r="T444">
        <v>0</v>
      </c>
      <c r="U444">
        <f t="shared" si="22"/>
        <v>884.30886327693997</v>
      </c>
    </row>
    <row r="445" spans="1:21" x14ac:dyDescent="0.25">
      <c r="A445" t="s">
        <v>27</v>
      </c>
      <c r="B445" t="str">
        <f>"26224054"</f>
        <v>26224054</v>
      </c>
      <c r="C445" t="s">
        <v>237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R445">
        <v>0</v>
      </c>
      <c r="S445">
        <v>0</v>
      </c>
      <c r="T445">
        <v>0</v>
      </c>
      <c r="U445">
        <f t="shared" si="22"/>
        <v>0</v>
      </c>
    </row>
    <row r="446" spans="1:21" x14ac:dyDescent="0.25">
      <c r="A446" t="s">
        <v>36</v>
      </c>
      <c r="B446" t="str">
        <f>"28594771"</f>
        <v>28594771</v>
      </c>
      <c r="C446" t="s">
        <v>238</v>
      </c>
      <c r="F446">
        <v>2</v>
      </c>
      <c r="G446">
        <v>31.125</v>
      </c>
      <c r="H446">
        <v>26.805000305176002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155.64057837819999</v>
      </c>
      <c r="S446">
        <v>155.64057837819999</v>
      </c>
      <c r="T446">
        <v>330.05500000000001</v>
      </c>
      <c r="U446">
        <f t="shared" si="22"/>
        <v>512.50057868337603</v>
      </c>
    </row>
    <row r="447" spans="1:21" x14ac:dyDescent="0.25">
      <c r="A447" t="s">
        <v>56</v>
      </c>
      <c r="B447" t="str">
        <f>"29372259"</f>
        <v>29372259</v>
      </c>
      <c r="C447" t="s">
        <v>239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27.395800000000001</v>
      </c>
      <c r="O447">
        <v>24.656199999999998</v>
      </c>
      <c r="P447">
        <v>0</v>
      </c>
      <c r="Q447">
        <v>0</v>
      </c>
      <c r="R447">
        <v>2006.3794759059999</v>
      </c>
      <c r="S447">
        <v>2006.3794759059999</v>
      </c>
      <c r="T447">
        <v>3042.36</v>
      </c>
      <c r="U447">
        <f t="shared" si="22"/>
        <v>5073.3956759060002</v>
      </c>
    </row>
    <row r="448" spans="1:21" x14ac:dyDescent="0.25">
      <c r="A448" t="s">
        <v>65</v>
      </c>
      <c r="B448" t="str">
        <f>"00064165"</f>
        <v>00064165</v>
      </c>
      <c r="C448" t="s">
        <v>240</v>
      </c>
      <c r="E448" t="s">
        <v>287</v>
      </c>
      <c r="F448">
        <v>2148</v>
      </c>
      <c r="G448">
        <v>16465.462292149001</v>
      </c>
      <c r="H448">
        <v>14971.177554631</v>
      </c>
      <c r="I448">
        <v>0</v>
      </c>
      <c r="J448">
        <v>0</v>
      </c>
      <c r="K448">
        <v>0</v>
      </c>
      <c r="L448">
        <v>8.35</v>
      </c>
      <c r="M448">
        <v>1.67</v>
      </c>
      <c r="N448">
        <v>2867.55</v>
      </c>
      <c r="O448">
        <v>2833.11</v>
      </c>
      <c r="P448">
        <v>0</v>
      </c>
      <c r="Q448">
        <v>0</v>
      </c>
      <c r="R448">
        <v>1714.6295211321001</v>
      </c>
      <c r="S448">
        <v>1714.6295211321001</v>
      </c>
      <c r="T448">
        <v>5022.09</v>
      </c>
      <c r="U448">
        <f t="shared" si="22"/>
        <v>24541.0070757631</v>
      </c>
    </row>
    <row r="449" spans="1:21" x14ac:dyDescent="0.25">
      <c r="A449" t="s">
        <v>65</v>
      </c>
      <c r="B449" t="str">
        <f>"00064165"</f>
        <v>00064165</v>
      </c>
      <c r="C449" t="s">
        <v>240</v>
      </c>
      <c r="D449" t="s">
        <v>509</v>
      </c>
      <c r="E449" t="s">
        <v>510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8.35</v>
      </c>
      <c r="M449">
        <v>0</v>
      </c>
      <c r="N449">
        <v>2.988</v>
      </c>
      <c r="O449">
        <v>2.6892</v>
      </c>
      <c r="P449">
        <v>0</v>
      </c>
      <c r="R449">
        <v>0</v>
      </c>
      <c r="S449">
        <v>0</v>
      </c>
      <c r="T449">
        <v>83.038200000000003</v>
      </c>
      <c r="U449">
        <f t="shared" si="22"/>
        <v>85.727400000000003</v>
      </c>
    </row>
    <row r="450" spans="1:21" x14ac:dyDescent="0.25">
      <c r="A450" t="s">
        <v>63</v>
      </c>
      <c r="B450" t="str">
        <f>"46709002"</f>
        <v>46709002</v>
      </c>
      <c r="C450" t="s">
        <v>241</v>
      </c>
      <c r="F450">
        <v>175</v>
      </c>
      <c r="G450">
        <v>754.83495490112</v>
      </c>
      <c r="H450">
        <v>586.3342102949</v>
      </c>
      <c r="I450">
        <v>0</v>
      </c>
      <c r="J450">
        <v>0</v>
      </c>
      <c r="K450">
        <v>0</v>
      </c>
      <c r="L450">
        <v>3</v>
      </c>
      <c r="M450">
        <v>0</v>
      </c>
      <c r="N450">
        <v>566.11699999999996</v>
      </c>
      <c r="O450">
        <v>509.505</v>
      </c>
      <c r="P450">
        <v>230</v>
      </c>
      <c r="Q450">
        <v>220</v>
      </c>
      <c r="R450">
        <v>503.2329697879</v>
      </c>
      <c r="S450">
        <v>723.23296978789995</v>
      </c>
      <c r="T450">
        <v>6312.45</v>
      </c>
      <c r="U450">
        <f t="shared" si="22"/>
        <v>8131.5221800828003</v>
      </c>
    </row>
    <row r="451" spans="1:21" x14ac:dyDescent="0.25">
      <c r="A451" t="s">
        <v>27</v>
      </c>
      <c r="B451" t="str">
        <f t="shared" ref="B451:B476" si="24">"61989100"</f>
        <v>61989100</v>
      </c>
      <c r="C451" t="s">
        <v>242</v>
      </c>
      <c r="E451" t="s">
        <v>287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21</v>
      </c>
      <c r="M451">
        <v>0</v>
      </c>
      <c r="N451">
        <v>3.4460999999999999</v>
      </c>
      <c r="O451">
        <v>3.1014900000000001</v>
      </c>
      <c r="P451">
        <v>0</v>
      </c>
      <c r="R451">
        <v>0</v>
      </c>
      <c r="S451">
        <v>0</v>
      </c>
      <c r="T451">
        <v>0</v>
      </c>
      <c r="U451">
        <f t="shared" si="22"/>
        <v>3.1014900000000001</v>
      </c>
    </row>
    <row r="452" spans="1:21" x14ac:dyDescent="0.25">
      <c r="A452" t="s">
        <v>27</v>
      </c>
      <c r="B452" t="str">
        <f t="shared" si="24"/>
        <v>61989100</v>
      </c>
      <c r="C452" t="s">
        <v>242</v>
      </c>
      <c r="D452">
        <v>27120</v>
      </c>
      <c r="E452" t="s">
        <v>312</v>
      </c>
      <c r="F452">
        <v>535</v>
      </c>
      <c r="G452">
        <v>8255.8631671759995</v>
      </c>
      <c r="H452">
        <v>4453.5829395264</v>
      </c>
      <c r="I452">
        <v>0</v>
      </c>
      <c r="J452">
        <v>0</v>
      </c>
      <c r="K452">
        <v>0</v>
      </c>
      <c r="L452">
        <v>21</v>
      </c>
      <c r="M452">
        <v>0</v>
      </c>
      <c r="N452">
        <v>299.37200000000001</v>
      </c>
      <c r="O452">
        <v>269.435</v>
      </c>
      <c r="P452">
        <v>60</v>
      </c>
      <c r="Q452">
        <v>36.666665315628002</v>
      </c>
      <c r="R452">
        <v>102.8853317332</v>
      </c>
      <c r="S452">
        <v>139.55199704879999</v>
      </c>
      <c r="T452">
        <v>721.86400000000003</v>
      </c>
      <c r="U452">
        <f t="shared" ref="U452:U516" si="25">H452+K452+O452+S452+T452</f>
        <v>5584.4339365752003</v>
      </c>
    </row>
    <row r="453" spans="1:21" x14ac:dyDescent="0.25">
      <c r="A453" t="s">
        <v>27</v>
      </c>
      <c r="B453" t="str">
        <f t="shared" si="24"/>
        <v>61989100</v>
      </c>
      <c r="C453" t="s">
        <v>242</v>
      </c>
      <c r="D453">
        <v>27200</v>
      </c>
      <c r="E453" t="s">
        <v>511</v>
      </c>
      <c r="F453">
        <v>188</v>
      </c>
      <c r="G453">
        <v>2019.983532603</v>
      </c>
      <c r="H453">
        <v>1322.3809435748999</v>
      </c>
      <c r="I453">
        <v>0</v>
      </c>
      <c r="J453">
        <v>0</v>
      </c>
      <c r="K453">
        <v>0</v>
      </c>
      <c r="L453">
        <v>21</v>
      </c>
      <c r="M453">
        <v>0</v>
      </c>
      <c r="N453">
        <v>158.40799999999999</v>
      </c>
      <c r="O453">
        <v>142.56700000000001</v>
      </c>
      <c r="P453">
        <v>0</v>
      </c>
      <c r="Q453">
        <v>0</v>
      </c>
      <c r="R453">
        <v>158.55975802930001</v>
      </c>
      <c r="S453">
        <v>158.55975802930001</v>
      </c>
      <c r="T453">
        <v>1182.49</v>
      </c>
      <c r="U453">
        <f t="shared" si="25"/>
        <v>2805.9977016041998</v>
      </c>
    </row>
    <row r="454" spans="1:21" x14ac:dyDescent="0.25">
      <c r="A454" t="s">
        <v>27</v>
      </c>
      <c r="B454" t="str">
        <f t="shared" si="24"/>
        <v>61989100</v>
      </c>
      <c r="C454" t="s">
        <v>242</v>
      </c>
      <c r="D454">
        <v>27230</v>
      </c>
      <c r="E454" t="s">
        <v>313</v>
      </c>
      <c r="F454">
        <v>626</v>
      </c>
      <c r="G454">
        <v>5532.0221085481999</v>
      </c>
      <c r="H454">
        <v>4178.8469714885996</v>
      </c>
      <c r="I454">
        <v>0</v>
      </c>
      <c r="J454">
        <v>0</v>
      </c>
      <c r="K454">
        <v>0</v>
      </c>
      <c r="L454">
        <v>21</v>
      </c>
      <c r="M454">
        <v>0</v>
      </c>
      <c r="N454">
        <v>1383.61</v>
      </c>
      <c r="O454">
        <v>1245.25</v>
      </c>
      <c r="P454">
        <v>470</v>
      </c>
      <c r="Q454">
        <v>235.49999821186</v>
      </c>
      <c r="R454">
        <v>113.049957281</v>
      </c>
      <c r="S454">
        <v>348.54995549289998</v>
      </c>
      <c r="T454">
        <v>6435.09</v>
      </c>
      <c r="U454">
        <f t="shared" si="25"/>
        <v>12207.736926981499</v>
      </c>
    </row>
    <row r="455" spans="1:21" x14ac:dyDescent="0.25">
      <c r="A455" t="s">
        <v>27</v>
      </c>
      <c r="B455" t="str">
        <f t="shared" si="24"/>
        <v>61989100</v>
      </c>
      <c r="C455" t="s">
        <v>242</v>
      </c>
      <c r="D455">
        <v>27240</v>
      </c>
      <c r="E455" t="s">
        <v>482</v>
      </c>
      <c r="F455">
        <v>1944</v>
      </c>
      <c r="G455">
        <v>22240.857177426002</v>
      </c>
      <c r="H455">
        <v>15950.468374366001</v>
      </c>
      <c r="I455">
        <v>0</v>
      </c>
      <c r="J455">
        <v>0</v>
      </c>
      <c r="K455">
        <v>0</v>
      </c>
      <c r="L455">
        <v>21</v>
      </c>
      <c r="M455">
        <v>0</v>
      </c>
      <c r="N455">
        <v>2422.8200000000002</v>
      </c>
      <c r="O455">
        <v>2180.54</v>
      </c>
      <c r="P455">
        <v>70</v>
      </c>
      <c r="Q455">
        <v>28.333333015442001</v>
      </c>
      <c r="R455">
        <v>532.27775725209995</v>
      </c>
      <c r="S455">
        <v>560.6110902675</v>
      </c>
      <c r="T455">
        <v>4715.34</v>
      </c>
      <c r="U455">
        <f t="shared" si="25"/>
        <v>23406.959464633499</v>
      </c>
    </row>
    <row r="456" spans="1:21" x14ac:dyDescent="0.25">
      <c r="A456" t="s">
        <v>27</v>
      </c>
      <c r="B456" t="str">
        <f t="shared" si="24"/>
        <v>61989100</v>
      </c>
      <c r="C456" t="s">
        <v>242</v>
      </c>
      <c r="D456">
        <v>27350</v>
      </c>
      <c r="E456" t="s">
        <v>512</v>
      </c>
      <c r="F456">
        <v>944</v>
      </c>
      <c r="G456">
        <v>9725.9915035735994</v>
      </c>
      <c r="H456">
        <v>8450.9038904983008</v>
      </c>
      <c r="I456">
        <v>0</v>
      </c>
      <c r="J456">
        <v>0</v>
      </c>
      <c r="K456">
        <v>0</v>
      </c>
      <c r="L456">
        <v>21</v>
      </c>
      <c r="M456">
        <v>0</v>
      </c>
      <c r="N456">
        <v>890.721</v>
      </c>
      <c r="O456">
        <v>801.649</v>
      </c>
      <c r="P456">
        <v>0</v>
      </c>
      <c r="Q456">
        <v>0</v>
      </c>
      <c r="R456">
        <v>353.24173908</v>
      </c>
      <c r="S456">
        <v>353.24173908</v>
      </c>
      <c r="T456">
        <v>2211.5300000000002</v>
      </c>
      <c r="U456">
        <f t="shared" si="25"/>
        <v>11817.324629578301</v>
      </c>
    </row>
    <row r="457" spans="1:21" x14ac:dyDescent="0.25">
      <c r="A457" t="s">
        <v>27</v>
      </c>
      <c r="B457" t="str">
        <f t="shared" si="24"/>
        <v>61989100</v>
      </c>
      <c r="C457" t="s">
        <v>242</v>
      </c>
      <c r="D457">
        <v>27360</v>
      </c>
      <c r="E457" t="s">
        <v>513</v>
      </c>
      <c r="F457">
        <v>962</v>
      </c>
      <c r="G457">
        <v>9365.0517818100998</v>
      </c>
      <c r="H457">
        <v>8385.7189468555007</v>
      </c>
      <c r="I457">
        <v>0</v>
      </c>
      <c r="J457">
        <v>0</v>
      </c>
      <c r="K457">
        <v>0</v>
      </c>
      <c r="L457">
        <v>21</v>
      </c>
      <c r="M457">
        <v>1</v>
      </c>
      <c r="N457">
        <v>1473.93</v>
      </c>
      <c r="O457">
        <v>1503.38</v>
      </c>
      <c r="P457">
        <v>140</v>
      </c>
      <c r="Q457">
        <v>38.333333015442001</v>
      </c>
      <c r="R457">
        <v>390.62403964840001</v>
      </c>
      <c r="S457">
        <v>428.9573726639</v>
      </c>
      <c r="T457">
        <v>2714.69</v>
      </c>
      <c r="U457">
        <f t="shared" si="25"/>
        <v>13032.746319519401</v>
      </c>
    </row>
    <row r="458" spans="1:21" x14ac:dyDescent="0.25">
      <c r="A458" t="s">
        <v>27</v>
      </c>
      <c r="B458" t="str">
        <f t="shared" si="24"/>
        <v>61989100</v>
      </c>
      <c r="C458" t="s">
        <v>242</v>
      </c>
      <c r="D458">
        <v>27510</v>
      </c>
      <c r="E458" t="s">
        <v>342</v>
      </c>
      <c r="F458">
        <v>1111</v>
      </c>
      <c r="G458">
        <v>12811.798869208</v>
      </c>
      <c r="H458">
        <v>8182.3369381357998</v>
      </c>
      <c r="I458">
        <v>0</v>
      </c>
      <c r="J458">
        <v>0</v>
      </c>
      <c r="K458">
        <v>0</v>
      </c>
      <c r="L458">
        <v>21</v>
      </c>
      <c r="M458">
        <v>0</v>
      </c>
      <c r="N458">
        <v>643.90099999999995</v>
      </c>
      <c r="O458">
        <v>579.51099999999997</v>
      </c>
      <c r="P458">
        <v>100</v>
      </c>
      <c r="Q458">
        <v>100</v>
      </c>
      <c r="R458">
        <v>0</v>
      </c>
      <c r="S458">
        <v>100</v>
      </c>
      <c r="T458">
        <v>5.0324999999999998</v>
      </c>
      <c r="U458">
        <f t="shared" si="25"/>
        <v>8866.8804381357986</v>
      </c>
    </row>
    <row r="459" spans="1:21" x14ac:dyDescent="0.25">
      <c r="A459" t="s">
        <v>27</v>
      </c>
      <c r="B459" t="str">
        <f t="shared" si="24"/>
        <v>61989100</v>
      </c>
      <c r="C459" t="s">
        <v>242</v>
      </c>
      <c r="D459">
        <v>27600</v>
      </c>
      <c r="E459" t="s">
        <v>514</v>
      </c>
      <c r="F459">
        <v>60</v>
      </c>
      <c r="G459">
        <v>495.69197188818998</v>
      </c>
      <c r="H459">
        <v>407.36126219349001</v>
      </c>
      <c r="I459">
        <v>0</v>
      </c>
      <c r="J459">
        <v>0</v>
      </c>
      <c r="K459">
        <v>0</v>
      </c>
      <c r="L459">
        <v>21</v>
      </c>
      <c r="M459">
        <v>0</v>
      </c>
      <c r="N459">
        <v>53.901899999999998</v>
      </c>
      <c r="O459">
        <v>48.511699999999998</v>
      </c>
      <c r="P459">
        <v>0</v>
      </c>
      <c r="R459">
        <v>0</v>
      </c>
      <c r="S459">
        <v>0</v>
      </c>
      <c r="T459">
        <v>28.562999999999999</v>
      </c>
      <c r="U459">
        <f t="shared" si="25"/>
        <v>484.43596219349001</v>
      </c>
    </row>
    <row r="460" spans="1:21" x14ac:dyDescent="0.25">
      <c r="A460" t="s">
        <v>27</v>
      </c>
      <c r="B460" t="str">
        <f t="shared" si="24"/>
        <v>61989100</v>
      </c>
      <c r="C460" t="s">
        <v>242</v>
      </c>
      <c r="D460">
        <v>27610</v>
      </c>
      <c r="E460" t="s">
        <v>515</v>
      </c>
      <c r="F460">
        <v>3</v>
      </c>
      <c r="G460">
        <v>18.901000022887999</v>
      </c>
      <c r="H460">
        <v>19.792000234126998</v>
      </c>
      <c r="I460">
        <v>0</v>
      </c>
      <c r="J460">
        <v>0</v>
      </c>
      <c r="K460">
        <v>0</v>
      </c>
      <c r="L460">
        <v>21</v>
      </c>
      <c r="M460">
        <v>0</v>
      </c>
      <c r="N460">
        <v>2.7827999999999999</v>
      </c>
      <c r="O460">
        <v>2.5045199999999999</v>
      </c>
      <c r="P460">
        <v>0</v>
      </c>
      <c r="R460">
        <v>0</v>
      </c>
      <c r="S460">
        <v>0</v>
      </c>
      <c r="T460">
        <v>0</v>
      </c>
      <c r="U460">
        <f t="shared" si="25"/>
        <v>22.296520234126998</v>
      </c>
    </row>
    <row r="461" spans="1:21" x14ac:dyDescent="0.25">
      <c r="A461" t="s">
        <v>27</v>
      </c>
      <c r="B461" t="str">
        <f t="shared" si="24"/>
        <v>61989100</v>
      </c>
      <c r="C461" t="s">
        <v>242</v>
      </c>
      <c r="D461">
        <v>27620</v>
      </c>
      <c r="E461" t="s">
        <v>516</v>
      </c>
      <c r="F461">
        <v>85</v>
      </c>
      <c r="G461">
        <v>362.62757805849998</v>
      </c>
      <c r="H461">
        <v>224.46613451618001</v>
      </c>
      <c r="I461">
        <v>0</v>
      </c>
      <c r="J461">
        <v>0</v>
      </c>
      <c r="K461">
        <v>0</v>
      </c>
      <c r="L461">
        <v>21</v>
      </c>
      <c r="M461">
        <v>0</v>
      </c>
      <c r="N461">
        <v>0</v>
      </c>
      <c r="O461">
        <v>0</v>
      </c>
      <c r="P461">
        <v>0</v>
      </c>
      <c r="R461">
        <v>0</v>
      </c>
      <c r="S461">
        <v>0</v>
      </c>
      <c r="T461">
        <v>0</v>
      </c>
      <c r="U461">
        <f t="shared" si="25"/>
        <v>224.46613451618001</v>
      </c>
    </row>
    <row r="462" spans="1:21" x14ac:dyDescent="0.25">
      <c r="A462" t="s">
        <v>27</v>
      </c>
      <c r="B462" t="str">
        <f t="shared" si="24"/>
        <v>61989100</v>
      </c>
      <c r="C462" t="s">
        <v>242</v>
      </c>
      <c r="D462">
        <v>27630</v>
      </c>
      <c r="E462" t="s">
        <v>517</v>
      </c>
      <c r="F462">
        <v>3</v>
      </c>
      <c r="G462">
        <v>9.0329999923706001</v>
      </c>
      <c r="H462">
        <v>8.2144782036681008</v>
      </c>
      <c r="I462">
        <v>0</v>
      </c>
      <c r="J462">
        <v>0</v>
      </c>
      <c r="K462">
        <v>0</v>
      </c>
      <c r="L462">
        <v>21</v>
      </c>
      <c r="M462">
        <v>0</v>
      </c>
      <c r="N462">
        <v>0.77759999999999996</v>
      </c>
      <c r="O462">
        <v>0.69984000000000002</v>
      </c>
      <c r="P462">
        <v>0</v>
      </c>
      <c r="R462">
        <v>0</v>
      </c>
      <c r="S462">
        <v>0</v>
      </c>
      <c r="T462">
        <v>0</v>
      </c>
      <c r="U462">
        <f t="shared" si="25"/>
        <v>8.9143182036681008</v>
      </c>
    </row>
    <row r="463" spans="1:21" x14ac:dyDescent="0.25">
      <c r="A463" t="s">
        <v>27</v>
      </c>
      <c r="B463" t="str">
        <f t="shared" si="24"/>
        <v>61989100</v>
      </c>
      <c r="C463" t="s">
        <v>242</v>
      </c>
      <c r="D463">
        <v>27640</v>
      </c>
      <c r="E463" t="s">
        <v>518</v>
      </c>
      <c r="F463">
        <v>175</v>
      </c>
      <c r="G463">
        <v>3143.0868966169</v>
      </c>
      <c r="H463">
        <v>3144.0806062330998</v>
      </c>
      <c r="I463">
        <v>0</v>
      </c>
      <c r="J463">
        <v>0</v>
      </c>
      <c r="K463">
        <v>0</v>
      </c>
      <c r="L463">
        <v>21</v>
      </c>
      <c r="M463">
        <v>1.45</v>
      </c>
      <c r="N463">
        <v>281.72399999999999</v>
      </c>
      <c r="O463">
        <v>509.96800000000002</v>
      </c>
      <c r="P463">
        <v>0</v>
      </c>
      <c r="Q463">
        <v>0</v>
      </c>
      <c r="R463">
        <v>22.240368708999998</v>
      </c>
      <c r="S463">
        <v>22.240368708999998</v>
      </c>
      <c r="T463">
        <v>336.23099999999999</v>
      </c>
      <c r="U463">
        <f t="shared" si="25"/>
        <v>4012.5199749420999</v>
      </c>
    </row>
    <row r="464" spans="1:21" x14ac:dyDescent="0.25">
      <c r="A464" t="s">
        <v>27</v>
      </c>
      <c r="B464" t="str">
        <f t="shared" si="24"/>
        <v>61989100</v>
      </c>
      <c r="C464" t="s">
        <v>242</v>
      </c>
      <c r="D464">
        <v>27650</v>
      </c>
      <c r="E464" t="s">
        <v>519</v>
      </c>
      <c r="F464">
        <v>77</v>
      </c>
      <c r="G464">
        <v>674.08205462034005</v>
      </c>
      <c r="H464">
        <v>590.55711744051996</v>
      </c>
      <c r="I464">
        <v>0</v>
      </c>
      <c r="J464">
        <v>0</v>
      </c>
      <c r="K464">
        <v>0</v>
      </c>
      <c r="L464">
        <v>21</v>
      </c>
      <c r="M464">
        <v>0</v>
      </c>
      <c r="N464">
        <v>374.14299999999997</v>
      </c>
      <c r="O464">
        <v>336.72899999999998</v>
      </c>
      <c r="P464">
        <v>0</v>
      </c>
      <c r="Q464">
        <v>0</v>
      </c>
      <c r="R464">
        <v>743.19373736969999</v>
      </c>
      <c r="S464">
        <v>743.19373736969999</v>
      </c>
      <c r="T464">
        <v>2241.4299999999998</v>
      </c>
      <c r="U464">
        <f t="shared" si="25"/>
        <v>3911.9098548102197</v>
      </c>
    </row>
    <row r="465" spans="1:21" x14ac:dyDescent="0.25">
      <c r="A465" t="s">
        <v>27</v>
      </c>
      <c r="B465" t="str">
        <f t="shared" si="24"/>
        <v>61989100</v>
      </c>
      <c r="C465" t="s">
        <v>242</v>
      </c>
      <c r="D465">
        <v>27660</v>
      </c>
      <c r="E465" t="s">
        <v>348</v>
      </c>
      <c r="F465">
        <v>1</v>
      </c>
      <c r="G465">
        <v>4</v>
      </c>
      <c r="H465">
        <v>5.1020002365112003</v>
      </c>
      <c r="I465">
        <v>0</v>
      </c>
      <c r="J465">
        <v>0</v>
      </c>
      <c r="K465">
        <v>0</v>
      </c>
      <c r="L465">
        <v>21</v>
      </c>
      <c r="M465">
        <v>0</v>
      </c>
      <c r="N465">
        <v>6.1631999999999998</v>
      </c>
      <c r="O465">
        <v>5.5468799999999998</v>
      </c>
      <c r="P465">
        <v>0</v>
      </c>
      <c r="R465">
        <v>0</v>
      </c>
      <c r="S465">
        <v>0</v>
      </c>
      <c r="T465">
        <v>0</v>
      </c>
      <c r="U465">
        <f t="shared" si="25"/>
        <v>10.6488802365112</v>
      </c>
    </row>
    <row r="466" spans="1:21" x14ac:dyDescent="0.25">
      <c r="A466" t="s">
        <v>27</v>
      </c>
      <c r="B466" t="str">
        <f t="shared" si="24"/>
        <v>61989100</v>
      </c>
      <c r="C466" t="s">
        <v>242</v>
      </c>
      <c r="D466">
        <v>27670</v>
      </c>
      <c r="E466" t="s">
        <v>328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21</v>
      </c>
      <c r="M466">
        <v>0</v>
      </c>
      <c r="N466">
        <v>0</v>
      </c>
      <c r="O466">
        <v>0</v>
      </c>
      <c r="P466">
        <v>0</v>
      </c>
      <c r="R466">
        <v>0</v>
      </c>
      <c r="S466">
        <v>0</v>
      </c>
      <c r="T466">
        <v>0</v>
      </c>
      <c r="U466">
        <f t="shared" si="25"/>
        <v>0</v>
      </c>
    </row>
    <row r="467" spans="1:21" x14ac:dyDescent="0.25">
      <c r="A467" t="s">
        <v>27</v>
      </c>
      <c r="B467" t="str">
        <f t="shared" si="24"/>
        <v>61989100</v>
      </c>
      <c r="C467" t="s">
        <v>242</v>
      </c>
      <c r="D467">
        <v>27680</v>
      </c>
      <c r="E467" t="s">
        <v>520</v>
      </c>
      <c r="F467">
        <v>29</v>
      </c>
      <c r="G467">
        <v>45.730303995349999</v>
      </c>
      <c r="H467">
        <v>22.943012281184</v>
      </c>
      <c r="I467">
        <v>0</v>
      </c>
      <c r="J467">
        <v>0</v>
      </c>
      <c r="K467">
        <v>0</v>
      </c>
      <c r="L467">
        <v>21</v>
      </c>
      <c r="M467">
        <v>0</v>
      </c>
      <c r="N467">
        <v>3.69</v>
      </c>
      <c r="O467">
        <v>3.3210000000000002</v>
      </c>
      <c r="P467">
        <v>0</v>
      </c>
      <c r="R467">
        <v>0</v>
      </c>
      <c r="S467">
        <v>0</v>
      </c>
      <c r="T467">
        <v>71.983000000000004</v>
      </c>
      <c r="U467">
        <f t="shared" si="25"/>
        <v>98.247012281183999</v>
      </c>
    </row>
    <row r="468" spans="1:21" x14ac:dyDescent="0.25">
      <c r="A468" t="s">
        <v>27</v>
      </c>
      <c r="B468" t="str">
        <f t="shared" si="24"/>
        <v>61989100</v>
      </c>
      <c r="C468" t="s">
        <v>242</v>
      </c>
      <c r="D468">
        <v>27690</v>
      </c>
      <c r="E468" t="s">
        <v>521</v>
      </c>
      <c r="F468">
        <v>10</v>
      </c>
      <c r="G468">
        <v>105.98124567502001</v>
      </c>
      <c r="H468">
        <v>76.830831461074993</v>
      </c>
      <c r="I468">
        <v>0</v>
      </c>
      <c r="J468">
        <v>0</v>
      </c>
      <c r="K468">
        <v>0</v>
      </c>
      <c r="L468">
        <v>21</v>
      </c>
      <c r="M468">
        <v>0</v>
      </c>
      <c r="N468">
        <v>175.18899999999999</v>
      </c>
      <c r="O468">
        <v>157.66999999999999</v>
      </c>
      <c r="P468">
        <v>0</v>
      </c>
      <c r="Q468">
        <v>0</v>
      </c>
      <c r="R468">
        <v>262.45315180030002</v>
      </c>
      <c r="S468">
        <v>262.45315180030002</v>
      </c>
      <c r="T468">
        <v>1095.69</v>
      </c>
      <c r="U468">
        <f t="shared" si="25"/>
        <v>1592.6439832613751</v>
      </c>
    </row>
    <row r="469" spans="1:21" x14ac:dyDescent="0.25">
      <c r="A469" t="s">
        <v>27</v>
      </c>
      <c r="B469" t="str">
        <f t="shared" si="24"/>
        <v>61989100</v>
      </c>
      <c r="C469" t="s">
        <v>242</v>
      </c>
      <c r="D469">
        <v>27700</v>
      </c>
      <c r="E469" t="s">
        <v>522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21</v>
      </c>
      <c r="M469">
        <v>0</v>
      </c>
      <c r="N469">
        <v>0</v>
      </c>
      <c r="O469">
        <v>0</v>
      </c>
      <c r="P469">
        <v>0</v>
      </c>
      <c r="R469">
        <v>0</v>
      </c>
      <c r="S469">
        <v>0</v>
      </c>
      <c r="T469">
        <v>0</v>
      </c>
      <c r="U469">
        <f t="shared" si="25"/>
        <v>0</v>
      </c>
    </row>
    <row r="470" spans="1:21" x14ac:dyDescent="0.25">
      <c r="A470" t="s">
        <v>27</v>
      </c>
      <c r="B470" t="str">
        <f t="shared" si="24"/>
        <v>61989100</v>
      </c>
      <c r="C470" t="s">
        <v>242</v>
      </c>
      <c r="D470">
        <v>27710</v>
      </c>
      <c r="E470" t="s">
        <v>523</v>
      </c>
      <c r="F470">
        <v>84</v>
      </c>
      <c r="G470">
        <v>1231.0579308727999</v>
      </c>
      <c r="H470">
        <v>1250.2823196413001</v>
      </c>
      <c r="I470">
        <v>0</v>
      </c>
      <c r="J470">
        <v>0</v>
      </c>
      <c r="K470">
        <v>0</v>
      </c>
      <c r="L470">
        <v>21</v>
      </c>
      <c r="M470">
        <v>0</v>
      </c>
      <c r="N470">
        <v>36.535499999999999</v>
      </c>
      <c r="O470">
        <v>32.881999999999998</v>
      </c>
      <c r="P470">
        <v>20</v>
      </c>
      <c r="Q470">
        <v>6.1904761791228999</v>
      </c>
      <c r="R470">
        <v>164.25110828449999</v>
      </c>
      <c r="S470">
        <v>170.44158446360001</v>
      </c>
      <c r="T470">
        <v>116.494</v>
      </c>
      <c r="U470">
        <f t="shared" si="25"/>
        <v>1570.0999041049001</v>
      </c>
    </row>
    <row r="471" spans="1:21" x14ac:dyDescent="0.25">
      <c r="A471" t="s">
        <v>27</v>
      </c>
      <c r="B471" t="str">
        <f t="shared" si="24"/>
        <v>61989100</v>
      </c>
      <c r="C471" t="s">
        <v>242</v>
      </c>
      <c r="D471">
        <v>27720</v>
      </c>
      <c r="E471" t="s">
        <v>524</v>
      </c>
      <c r="F471">
        <v>2</v>
      </c>
      <c r="G471">
        <v>4.8235294117647003</v>
      </c>
      <c r="H471">
        <v>2.1661251299881998</v>
      </c>
      <c r="I471">
        <v>0</v>
      </c>
      <c r="J471">
        <v>0</v>
      </c>
      <c r="K471">
        <v>0</v>
      </c>
      <c r="L471">
        <v>21</v>
      </c>
      <c r="M471">
        <v>0</v>
      </c>
      <c r="N471">
        <v>3.1103999999999998</v>
      </c>
      <c r="O471">
        <v>2.7993600000000001</v>
      </c>
      <c r="P471">
        <v>0</v>
      </c>
      <c r="R471">
        <v>0</v>
      </c>
      <c r="S471">
        <v>0</v>
      </c>
      <c r="T471">
        <v>0</v>
      </c>
      <c r="U471">
        <f t="shared" si="25"/>
        <v>4.9654851299881999</v>
      </c>
    </row>
    <row r="472" spans="1:21" x14ac:dyDescent="0.25">
      <c r="A472" t="s">
        <v>27</v>
      </c>
      <c r="B472" t="str">
        <f t="shared" si="24"/>
        <v>61989100</v>
      </c>
      <c r="C472" t="s">
        <v>242</v>
      </c>
      <c r="D472">
        <v>27730</v>
      </c>
      <c r="E472" t="s">
        <v>525</v>
      </c>
      <c r="F472">
        <v>274</v>
      </c>
      <c r="G472">
        <v>1934.8371637324001</v>
      </c>
      <c r="H472">
        <v>1447.5111905645001</v>
      </c>
      <c r="I472">
        <v>0</v>
      </c>
      <c r="J472">
        <v>0</v>
      </c>
      <c r="K472">
        <v>0</v>
      </c>
      <c r="L472">
        <v>21</v>
      </c>
      <c r="M472">
        <v>0</v>
      </c>
      <c r="N472">
        <v>64.736099999999993</v>
      </c>
      <c r="O472">
        <v>58.262500000000003</v>
      </c>
      <c r="P472">
        <v>160</v>
      </c>
      <c r="Q472">
        <v>95.833333015441994</v>
      </c>
      <c r="R472">
        <v>353.72476880639999</v>
      </c>
      <c r="S472">
        <v>449.55810182179999</v>
      </c>
      <c r="T472">
        <v>700.45500000000004</v>
      </c>
      <c r="U472">
        <f t="shared" si="25"/>
        <v>2655.7867923863</v>
      </c>
    </row>
    <row r="473" spans="1:21" x14ac:dyDescent="0.25">
      <c r="A473" t="s">
        <v>27</v>
      </c>
      <c r="B473" t="str">
        <f t="shared" si="24"/>
        <v>61989100</v>
      </c>
      <c r="C473" t="s">
        <v>242</v>
      </c>
      <c r="D473">
        <v>27740</v>
      </c>
      <c r="E473" t="s">
        <v>526</v>
      </c>
      <c r="F473">
        <v>642</v>
      </c>
      <c r="G473">
        <v>6439.9002016595005</v>
      </c>
      <c r="H473">
        <v>5108.4314639995</v>
      </c>
      <c r="I473">
        <v>0</v>
      </c>
      <c r="J473">
        <v>0</v>
      </c>
      <c r="K473">
        <v>0</v>
      </c>
      <c r="L473">
        <v>21</v>
      </c>
      <c r="M473">
        <v>0</v>
      </c>
      <c r="N473">
        <v>170.982</v>
      </c>
      <c r="O473">
        <v>153.88399999999999</v>
      </c>
      <c r="P473">
        <v>250</v>
      </c>
      <c r="Q473">
        <v>108.33333301544</v>
      </c>
      <c r="R473">
        <v>379.45135206269998</v>
      </c>
      <c r="S473">
        <v>487.78468507820003</v>
      </c>
      <c r="T473">
        <v>693.71600000000001</v>
      </c>
      <c r="U473">
        <f t="shared" si="25"/>
        <v>6443.8161490777002</v>
      </c>
    </row>
    <row r="474" spans="1:21" x14ac:dyDescent="0.25">
      <c r="A474" t="s">
        <v>27</v>
      </c>
      <c r="B474" t="str">
        <f t="shared" si="24"/>
        <v>61989100</v>
      </c>
      <c r="C474" t="s">
        <v>242</v>
      </c>
      <c r="D474">
        <v>27750</v>
      </c>
      <c r="E474" t="s">
        <v>527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21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89.633516194600006</v>
      </c>
      <c r="S474">
        <v>89.633516194600006</v>
      </c>
      <c r="T474">
        <v>17.342400000000001</v>
      </c>
      <c r="U474">
        <f t="shared" si="25"/>
        <v>106.9759161946</v>
      </c>
    </row>
    <row r="475" spans="1:21" x14ac:dyDescent="0.25">
      <c r="A475" t="s">
        <v>27</v>
      </c>
      <c r="B475" t="str">
        <f t="shared" si="24"/>
        <v>61989100</v>
      </c>
      <c r="C475" t="s">
        <v>242</v>
      </c>
      <c r="D475">
        <v>27760</v>
      </c>
      <c r="E475" t="s">
        <v>528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21</v>
      </c>
      <c r="M475">
        <v>0</v>
      </c>
      <c r="N475">
        <v>0</v>
      </c>
      <c r="O475">
        <v>0</v>
      </c>
      <c r="P475">
        <v>50</v>
      </c>
      <c r="Q475">
        <v>50</v>
      </c>
      <c r="R475">
        <v>0</v>
      </c>
      <c r="S475">
        <v>50</v>
      </c>
      <c r="T475">
        <v>0</v>
      </c>
      <c r="U475">
        <f t="shared" si="25"/>
        <v>50</v>
      </c>
    </row>
    <row r="476" spans="1:21" x14ac:dyDescent="0.25">
      <c r="A476" t="s">
        <v>27</v>
      </c>
      <c r="B476" t="str">
        <f t="shared" si="24"/>
        <v>61989100</v>
      </c>
      <c r="C476" t="s">
        <v>242</v>
      </c>
      <c r="D476">
        <v>27830</v>
      </c>
      <c r="E476" t="s">
        <v>529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21</v>
      </c>
      <c r="M476">
        <v>0</v>
      </c>
      <c r="N476">
        <v>0</v>
      </c>
      <c r="O476">
        <v>0</v>
      </c>
      <c r="P476">
        <v>0</v>
      </c>
      <c r="R476">
        <v>0</v>
      </c>
      <c r="S476">
        <v>0</v>
      </c>
      <c r="T476">
        <v>0</v>
      </c>
      <c r="U476">
        <f t="shared" si="25"/>
        <v>0</v>
      </c>
    </row>
    <row r="477" spans="1:21" x14ac:dyDescent="0.25">
      <c r="A477" t="s">
        <v>27</v>
      </c>
      <c r="B477" t="str">
        <f t="shared" ref="B477:B483" si="26">"61384399"</f>
        <v>61384399</v>
      </c>
      <c r="C477" t="s">
        <v>243</v>
      </c>
      <c r="D477">
        <v>31110</v>
      </c>
      <c r="E477" t="s">
        <v>530</v>
      </c>
      <c r="F477">
        <v>714</v>
      </c>
      <c r="G477">
        <v>5267.2705458676</v>
      </c>
      <c r="H477">
        <v>3683.0956690888002</v>
      </c>
      <c r="I477">
        <v>0</v>
      </c>
      <c r="J477">
        <v>0</v>
      </c>
      <c r="K477">
        <v>0</v>
      </c>
      <c r="L477">
        <v>7</v>
      </c>
      <c r="M477">
        <v>0.5</v>
      </c>
      <c r="N477">
        <v>530.173</v>
      </c>
      <c r="O477">
        <v>553.45799999999997</v>
      </c>
      <c r="P477">
        <v>0</v>
      </c>
      <c r="Q477">
        <v>0</v>
      </c>
      <c r="R477">
        <v>12.600775472500001</v>
      </c>
      <c r="S477">
        <v>12.600775472500001</v>
      </c>
      <c r="T477">
        <v>46.996000000000002</v>
      </c>
      <c r="U477">
        <f t="shared" si="25"/>
        <v>4296.1504445613</v>
      </c>
    </row>
    <row r="478" spans="1:21" x14ac:dyDescent="0.25">
      <c r="A478" t="s">
        <v>27</v>
      </c>
      <c r="B478" t="str">
        <f t="shared" si="26"/>
        <v>61384399</v>
      </c>
      <c r="C478" t="s">
        <v>243</v>
      </c>
      <c r="D478">
        <v>31120</v>
      </c>
      <c r="E478" t="s">
        <v>531</v>
      </c>
      <c r="F478">
        <v>499</v>
      </c>
      <c r="G478">
        <v>4782.5260462745</v>
      </c>
      <c r="H478">
        <v>3691.3190290993998</v>
      </c>
      <c r="I478">
        <v>0</v>
      </c>
      <c r="J478">
        <v>0</v>
      </c>
      <c r="K478">
        <v>0</v>
      </c>
      <c r="L478">
        <v>7</v>
      </c>
      <c r="M478">
        <v>0</v>
      </c>
      <c r="N478">
        <v>431.53500000000003</v>
      </c>
      <c r="O478">
        <v>388.38200000000001</v>
      </c>
      <c r="P478">
        <v>0</v>
      </c>
      <c r="Q478">
        <v>0</v>
      </c>
      <c r="R478">
        <v>27.2596776056</v>
      </c>
      <c r="S478">
        <v>27.2596776056</v>
      </c>
      <c r="T478">
        <v>53.788800000000002</v>
      </c>
      <c r="U478">
        <f t="shared" si="25"/>
        <v>4160.7495067050004</v>
      </c>
    </row>
    <row r="479" spans="1:21" x14ac:dyDescent="0.25">
      <c r="A479" t="s">
        <v>27</v>
      </c>
      <c r="B479" t="str">
        <f t="shared" si="26"/>
        <v>61384399</v>
      </c>
      <c r="C479" t="s">
        <v>243</v>
      </c>
      <c r="D479">
        <v>31130</v>
      </c>
      <c r="E479" t="s">
        <v>532</v>
      </c>
      <c r="F479">
        <v>530</v>
      </c>
      <c r="G479">
        <v>4645.7316430866003</v>
      </c>
      <c r="H479">
        <v>3027.2642907190998</v>
      </c>
      <c r="I479">
        <v>0</v>
      </c>
      <c r="J479">
        <v>0</v>
      </c>
      <c r="K479">
        <v>0</v>
      </c>
      <c r="L479">
        <v>7</v>
      </c>
      <c r="M479">
        <v>0</v>
      </c>
      <c r="N479">
        <v>377.851</v>
      </c>
      <c r="O479">
        <v>340.06599999999997</v>
      </c>
      <c r="P479">
        <v>0</v>
      </c>
      <c r="Q479">
        <v>0</v>
      </c>
      <c r="R479">
        <v>146.37900840590001</v>
      </c>
      <c r="S479">
        <v>146.37900840590001</v>
      </c>
      <c r="T479">
        <v>537.32000000000005</v>
      </c>
      <c r="U479">
        <f t="shared" si="25"/>
        <v>4051.0292991249999</v>
      </c>
    </row>
    <row r="480" spans="1:21" x14ac:dyDescent="0.25">
      <c r="A480" t="s">
        <v>27</v>
      </c>
      <c r="B480" t="str">
        <f t="shared" si="26"/>
        <v>61384399</v>
      </c>
      <c r="C480" t="s">
        <v>243</v>
      </c>
      <c r="D480">
        <v>31140</v>
      </c>
      <c r="E480" t="s">
        <v>533</v>
      </c>
      <c r="F480">
        <v>1003</v>
      </c>
      <c r="G480">
        <v>10358.429384961</v>
      </c>
      <c r="H480">
        <v>6711.0133259671002</v>
      </c>
      <c r="I480">
        <v>0</v>
      </c>
      <c r="J480">
        <v>0</v>
      </c>
      <c r="K480">
        <v>0</v>
      </c>
      <c r="L480">
        <v>7</v>
      </c>
      <c r="M480">
        <v>0</v>
      </c>
      <c r="N480">
        <v>589.03300000000002</v>
      </c>
      <c r="O480">
        <v>530.13</v>
      </c>
      <c r="P480">
        <v>0</v>
      </c>
      <c r="Q480">
        <v>0</v>
      </c>
      <c r="R480">
        <v>53.427288003599998</v>
      </c>
      <c r="S480">
        <v>53.427288003599998</v>
      </c>
      <c r="T480">
        <v>355.55</v>
      </c>
      <c r="U480">
        <f t="shared" si="25"/>
        <v>7650.1206139707001</v>
      </c>
    </row>
    <row r="481" spans="1:21" x14ac:dyDescent="0.25">
      <c r="A481" t="s">
        <v>27</v>
      </c>
      <c r="B481" t="str">
        <f t="shared" si="26"/>
        <v>61384399</v>
      </c>
      <c r="C481" t="s">
        <v>243</v>
      </c>
      <c r="D481">
        <v>31150</v>
      </c>
      <c r="E481" t="s">
        <v>534</v>
      </c>
      <c r="F481">
        <v>402</v>
      </c>
      <c r="G481">
        <v>4803.7780810285003</v>
      </c>
      <c r="H481">
        <v>3704.7513217810001</v>
      </c>
      <c r="I481">
        <v>0</v>
      </c>
      <c r="J481">
        <v>0</v>
      </c>
      <c r="K481">
        <v>0</v>
      </c>
      <c r="L481">
        <v>7</v>
      </c>
      <c r="M481">
        <v>0</v>
      </c>
      <c r="N481">
        <v>381.87599999999998</v>
      </c>
      <c r="O481">
        <v>343.68799999999999</v>
      </c>
      <c r="P481">
        <v>0</v>
      </c>
      <c r="R481">
        <v>0</v>
      </c>
      <c r="S481">
        <v>0</v>
      </c>
      <c r="T481">
        <v>38.677999999999997</v>
      </c>
      <c r="U481">
        <f t="shared" si="25"/>
        <v>4087.1173217810001</v>
      </c>
    </row>
    <row r="482" spans="1:21" x14ac:dyDescent="0.25">
      <c r="A482" t="s">
        <v>27</v>
      </c>
      <c r="B482" t="str">
        <f t="shared" si="26"/>
        <v>61384399</v>
      </c>
      <c r="C482" t="s">
        <v>243</v>
      </c>
      <c r="D482">
        <v>31160</v>
      </c>
      <c r="E482" t="s">
        <v>535</v>
      </c>
      <c r="F482">
        <v>154</v>
      </c>
      <c r="G482">
        <v>1716.8046324879001</v>
      </c>
      <c r="H482">
        <v>1021.5907869103</v>
      </c>
      <c r="I482">
        <v>0</v>
      </c>
      <c r="J482">
        <v>0</v>
      </c>
      <c r="K482">
        <v>0</v>
      </c>
      <c r="L482">
        <v>7</v>
      </c>
      <c r="M482">
        <v>0</v>
      </c>
      <c r="N482">
        <v>119.804</v>
      </c>
      <c r="O482">
        <v>107.824</v>
      </c>
      <c r="P482">
        <v>0</v>
      </c>
      <c r="R482">
        <v>0</v>
      </c>
      <c r="S482">
        <v>0</v>
      </c>
      <c r="T482">
        <v>4.0834999999999999</v>
      </c>
      <c r="U482">
        <f t="shared" si="25"/>
        <v>1133.4982869103001</v>
      </c>
    </row>
    <row r="483" spans="1:21" x14ac:dyDescent="0.25">
      <c r="A483" t="s">
        <v>27</v>
      </c>
      <c r="B483" t="str">
        <f t="shared" si="26"/>
        <v>61384399</v>
      </c>
      <c r="C483" t="s">
        <v>243</v>
      </c>
      <c r="D483">
        <v>31810</v>
      </c>
      <c r="E483" t="s">
        <v>297</v>
      </c>
      <c r="F483">
        <v>8</v>
      </c>
      <c r="G483">
        <v>14.89476584022</v>
      </c>
      <c r="H483">
        <v>7.4126194956161999</v>
      </c>
      <c r="I483">
        <v>0</v>
      </c>
      <c r="J483">
        <v>0</v>
      </c>
      <c r="K483">
        <v>0</v>
      </c>
      <c r="L483">
        <v>7</v>
      </c>
      <c r="M483">
        <v>0</v>
      </c>
      <c r="N483">
        <v>0.38790000000000002</v>
      </c>
      <c r="O483">
        <v>0.34910999999999998</v>
      </c>
      <c r="P483">
        <v>0</v>
      </c>
      <c r="Q483">
        <v>0</v>
      </c>
      <c r="R483">
        <v>17.8720998786</v>
      </c>
      <c r="S483">
        <v>17.8720998786</v>
      </c>
      <c r="T483">
        <v>38.528500000000001</v>
      </c>
      <c r="U483">
        <f t="shared" si="25"/>
        <v>64.162329374216199</v>
      </c>
    </row>
    <row r="484" spans="1:21" x14ac:dyDescent="0.25">
      <c r="A484" t="s">
        <v>27</v>
      </c>
      <c r="B484" t="str">
        <f>"26033909"</f>
        <v>26033909</v>
      </c>
      <c r="C484" t="s">
        <v>244</v>
      </c>
      <c r="F484">
        <v>31</v>
      </c>
      <c r="G484">
        <v>643.93629017410001</v>
      </c>
      <c r="H484">
        <v>445.80384530621001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10.6317</v>
      </c>
      <c r="O484">
        <v>9.5685300000000009</v>
      </c>
      <c r="P484">
        <v>0</v>
      </c>
      <c r="R484">
        <v>0</v>
      </c>
      <c r="S484">
        <v>0</v>
      </c>
      <c r="T484">
        <v>0</v>
      </c>
      <c r="U484">
        <f t="shared" si="25"/>
        <v>455.37237530621002</v>
      </c>
    </row>
    <row r="485" spans="1:21" x14ac:dyDescent="0.25">
      <c r="A485" t="s">
        <v>27</v>
      </c>
      <c r="B485" t="s">
        <v>565</v>
      </c>
      <c r="C485" t="s">
        <v>564</v>
      </c>
      <c r="F485">
        <v>200</v>
      </c>
      <c r="G485">
        <v>1886.5177568680001</v>
      </c>
      <c r="H485">
        <v>1260.1660324832999</v>
      </c>
      <c r="I485">
        <v>0</v>
      </c>
      <c r="J485">
        <v>0</v>
      </c>
      <c r="K485">
        <v>0</v>
      </c>
      <c r="L485">
        <v>1</v>
      </c>
      <c r="M485">
        <v>0</v>
      </c>
      <c r="N485">
        <v>89.380300000000005</v>
      </c>
      <c r="O485">
        <v>80.442300000000003</v>
      </c>
      <c r="P485">
        <v>0</v>
      </c>
      <c r="Q485">
        <v>0</v>
      </c>
      <c r="R485">
        <v>63.507908381500002</v>
      </c>
      <c r="S485">
        <v>63.507908381500002</v>
      </c>
      <c r="T485">
        <v>46.063000000000002</v>
      </c>
      <c r="U485">
        <f>H485+K485+O485+S485+T485</f>
        <v>1450.1792408648</v>
      </c>
    </row>
    <row r="486" spans="1:21" x14ac:dyDescent="0.25">
      <c r="A486" t="s">
        <v>27</v>
      </c>
      <c r="B486" t="str">
        <f>"25619161"</f>
        <v>25619161</v>
      </c>
      <c r="C486" t="s">
        <v>245</v>
      </c>
      <c r="F486">
        <v>39</v>
      </c>
      <c r="G486">
        <v>367.18091678121999</v>
      </c>
      <c r="H486">
        <v>203.30127584581999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8.9748000000000001</v>
      </c>
      <c r="O486">
        <v>8.0773200000000003</v>
      </c>
      <c r="P486">
        <v>0</v>
      </c>
      <c r="R486">
        <v>0</v>
      </c>
      <c r="S486">
        <v>0</v>
      </c>
      <c r="T486">
        <v>0</v>
      </c>
      <c r="U486">
        <f t="shared" si="25"/>
        <v>211.37859584581997</v>
      </c>
    </row>
    <row r="487" spans="1:21" x14ac:dyDescent="0.25">
      <c r="A487" t="s">
        <v>27</v>
      </c>
      <c r="B487" t="str">
        <f t="shared" ref="B487:B498" si="27">"60461373"</f>
        <v>60461373</v>
      </c>
      <c r="C487" t="s">
        <v>246</v>
      </c>
      <c r="D487">
        <v>22310</v>
      </c>
      <c r="E487" t="s">
        <v>536</v>
      </c>
      <c r="F487">
        <v>1189</v>
      </c>
      <c r="G487">
        <v>33779.738309963999</v>
      </c>
      <c r="H487">
        <v>34303.075290494002</v>
      </c>
      <c r="I487">
        <v>0</v>
      </c>
      <c r="J487">
        <v>0</v>
      </c>
      <c r="K487">
        <v>0</v>
      </c>
      <c r="L487">
        <v>23.25</v>
      </c>
      <c r="M487">
        <v>2.21</v>
      </c>
      <c r="N487">
        <v>3185.51</v>
      </c>
      <c r="O487">
        <v>3304.64</v>
      </c>
      <c r="P487">
        <v>510</v>
      </c>
      <c r="Q487">
        <v>135.73592948914001</v>
      </c>
      <c r="R487">
        <v>925.06493002319996</v>
      </c>
      <c r="S487">
        <v>1060.8008595123999</v>
      </c>
      <c r="T487">
        <v>4514.6000000000004</v>
      </c>
      <c r="U487">
        <f t="shared" si="25"/>
        <v>43183.116150006397</v>
      </c>
    </row>
    <row r="488" spans="1:21" x14ac:dyDescent="0.25">
      <c r="A488" t="s">
        <v>27</v>
      </c>
      <c r="B488" t="str">
        <f t="shared" si="27"/>
        <v>60461373</v>
      </c>
      <c r="C488" t="s">
        <v>246</v>
      </c>
      <c r="D488">
        <v>22320</v>
      </c>
      <c r="E488" t="s">
        <v>537</v>
      </c>
      <c r="F488">
        <v>228</v>
      </c>
      <c r="G488">
        <v>3665.6493863783999</v>
      </c>
      <c r="H488">
        <v>3558.7282919894001</v>
      </c>
      <c r="I488">
        <v>0</v>
      </c>
      <c r="J488">
        <v>0</v>
      </c>
      <c r="K488">
        <v>0</v>
      </c>
      <c r="L488">
        <v>23.25</v>
      </c>
      <c r="M488">
        <v>0.5</v>
      </c>
      <c r="N488">
        <v>1438.42</v>
      </c>
      <c r="O488">
        <v>1393.6</v>
      </c>
      <c r="P488">
        <v>20</v>
      </c>
      <c r="Q488">
        <v>20</v>
      </c>
      <c r="R488">
        <v>602.23306241709997</v>
      </c>
      <c r="S488">
        <v>622.23306241709997</v>
      </c>
      <c r="T488">
        <v>2789.66</v>
      </c>
      <c r="U488">
        <f t="shared" si="25"/>
        <v>8364.2213544064998</v>
      </c>
    </row>
    <row r="489" spans="1:21" x14ac:dyDescent="0.25">
      <c r="A489" t="s">
        <v>27</v>
      </c>
      <c r="B489" t="str">
        <f t="shared" si="27"/>
        <v>60461373</v>
      </c>
      <c r="C489" t="s">
        <v>246</v>
      </c>
      <c r="D489">
        <v>22330</v>
      </c>
      <c r="E489" t="s">
        <v>538</v>
      </c>
      <c r="F489">
        <v>805</v>
      </c>
      <c r="G489">
        <v>17376.796981575</v>
      </c>
      <c r="H489">
        <v>17361.618077354</v>
      </c>
      <c r="I489">
        <v>0</v>
      </c>
      <c r="J489">
        <v>0</v>
      </c>
      <c r="K489">
        <v>0</v>
      </c>
      <c r="L489">
        <v>23.25</v>
      </c>
      <c r="M489">
        <v>3.2</v>
      </c>
      <c r="N489">
        <v>3048.55</v>
      </c>
      <c r="O489">
        <v>3377.44</v>
      </c>
      <c r="P489">
        <v>290</v>
      </c>
      <c r="Q489">
        <v>63.053221523761998</v>
      </c>
      <c r="R489">
        <v>622.22629283360004</v>
      </c>
      <c r="S489">
        <v>685.27951435729995</v>
      </c>
      <c r="T489">
        <v>2953.98</v>
      </c>
      <c r="U489">
        <f t="shared" si="25"/>
        <v>24378.317591711297</v>
      </c>
    </row>
    <row r="490" spans="1:21" x14ac:dyDescent="0.25">
      <c r="A490" t="s">
        <v>27</v>
      </c>
      <c r="B490" t="str">
        <f t="shared" si="27"/>
        <v>60461373</v>
      </c>
      <c r="C490" t="s">
        <v>246</v>
      </c>
      <c r="D490">
        <v>22340</v>
      </c>
      <c r="E490" t="s">
        <v>539</v>
      </c>
      <c r="F490">
        <v>985</v>
      </c>
      <c r="G490">
        <v>21344.41979109</v>
      </c>
      <c r="H490">
        <v>24393.624886961999</v>
      </c>
      <c r="I490">
        <v>0</v>
      </c>
      <c r="J490">
        <v>0</v>
      </c>
      <c r="K490">
        <v>0</v>
      </c>
      <c r="L490">
        <v>23.25</v>
      </c>
      <c r="M490">
        <v>1.42</v>
      </c>
      <c r="N490">
        <v>2723.9</v>
      </c>
      <c r="O490">
        <v>2732.73</v>
      </c>
      <c r="P490">
        <v>370</v>
      </c>
      <c r="Q490">
        <v>128.86173796654001</v>
      </c>
      <c r="R490">
        <v>186.9115028425</v>
      </c>
      <c r="S490">
        <v>315.77324080900001</v>
      </c>
      <c r="T490">
        <v>2019.54</v>
      </c>
      <c r="U490">
        <f t="shared" si="25"/>
        <v>29461.668127771001</v>
      </c>
    </row>
    <row r="491" spans="1:21" x14ac:dyDescent="0.25">
      <c r="A491" t="s">
        <v>27</v>
      </c>
      <c r="B491" t="str">
        <f t="shared" si="27"/>
        <v>60461373</v>
      </c>
      <c r="C491" t="s">
        <v>246</v>
      </c>
      <c r="D491">
        <v>22610</v>
      </c>
      <c r="E491" t="s">
        <v>515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23.25</v>
      </c>
      <c r="M491">
        <v>0</v>
      </c>
      <c r="N491">
        <v>0</v>
      </c>
      <c r="O491">
        <v>0</v>
      </c>
      <c r="P491">
        <v>0</v>
      </c>
      <c r="R491">
        <v>0</v>
      </c>
      <c r="S491">
        <v>0</v>
      </c>
      <c r="T491">
        <v>0</v>
      </c>
      <c r="U491">
        <f t="shared" si="25"/>
        <v>0</v>
      </c>
    </row>
    <row r="492" spans="1:21" x14ac:dyDescent="0.25">
      <c r="A492" t="s">
        <v>27</v>
      </c>
      <c r="B492" t="str">
        <f t="shared" si="27"/>
        <v>60461373</v>
      </c>
      <c r="C492" t="s">
        <v>246</v>
      </c>
      <c r="D492">
        <v>22620</v>
      </c>
      <c r="E492" t="s">
        <v>306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23.25</v>
      </c>
      <c r="M492">
        <v>0</v>
      </c>
      <c r="N492">
        <v>0</v>
      </c>
      <c r="O492">
        <v>0</v>
      </c>
      <c r="P492">
        <v>0</v>
      </c>
      <c r="R492">
        <v>0</v>
      </c>
      <c r="S492">
        <v>0</v>
      </c>
      <c r="T492">
        <v>0</v>
      </c>
      <c r="U492">
        <f t="shared" si="25"/>
        <v>0</v>
      </c>
    </row>
    <row r="493" spans="1:21" x14ac:dyDescent="0.25">
      <c r="A493" t="s">
        <v>27</v>
      </c>
      <c r="B493" t="str">
        <f t="shared" si="27"/>
        <v>60461373</v>
      </c>
      <c r="C493" t="s">
        <v>246</v>
      </c>
      <c r="D493">
        <v>22630</v>
      </c>
      <c r="E493" t="s">
        <v>516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23.25</v>
      </c>
      <c r="M493">
        <v>0</v>
      </c>
      <c r="N493">
        <v>0</v>
      </c>
      <c r="O493">
        <v>0</v>
      </c>
      <c r="P493">
        <v>0</v>
      </c>
      <c r="R493">
        <v>0</v>
      </c>
      <c r="S493">
        <v>0</v>
      </c>
      <c r="T493">
        <v>0</v>
      </c>
      <c r="U493">
        <f t="shared" si="25"/>
        <v>0</v>
      </c>
    </row>
    <row r="494" spans="1:21" x14ac:dyDescent="0.25">
      <c r="A494" t="s">
        <v>27</v>
      </c>
      <c r="B494" t="str">
        <f t="shared" si="27"/>
        <v>60461373</v>
      </c>
      <c r="C494" t="s">
        <v>246</v>
      </c>
      <c r="D494">
        <v>22640</v>
      </c>
      <c r="E494" t="s">
        <v>540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23.25</v>
      </c>
      <c r="M494">
        <v>0</v>
      </c>
      <c r="N494">
        <v>0</v>
      </c>
      <c r="O494">
        <v>0</v>
      </c>
      <c r="P494">
        <v>0</v>
      </c>
      <c r="R494">
        <v>0</v>
      </c>
      <c r="S494">
        <v>0</v>
      </c>
      <c r="T494">
        <v>0</v>
      </c>
      <c r="U494">
        <f t="shared" si="25"/>
        <v>0</v>
      </c>
    </row>
    <row r="495" spans="1:21" x14ac:dyDescent="0.25">
      <c r="A495" t="s">
        <v>27</v>
      </c>
      <c r="B495" t="str">
        <f t="shared" si="27"/>
        <v>60461373</v>
      </c>
      <c r="C495" t="s">
        <v>246</v>
      </c>
      <c r="D495">
        <v>22650</v>
      </c>
      <c r="E495" t="s">
        <v>541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23.25</v>
      </c>
      <c r="M495">
        <v>0</v>
      </c>
      <c r="N495">
        <v>0</v>
      </c>
      <c r="O495">
        <v>0</v>
      </c>
      <c r="P495">
        <v>0</v>
      </c>
      <c r="R495">
        <v>0</v>
      </c>
      <c r="S495">
        <v>0</v>
      </c>
      <c r="T495">
        <v>0</v>
      </c>
      <c r="U495">
        <f t="shared" si="25"/>
        <v>0</v>
      </c>
    </row>
    <row r="496" spans="1:21" x14ac:dyDescent="0.25">
      <c r="A496" t="s">
        <v>27</v>
      </c>
      <c r="B496" t="str">
        <f t="shared" si="27"/>
        <v>60461373</v>
      </c>
      <c r="C496" t="s">
        <v>246</v>
      </c>
      <c r="D496">
        <v>22660</v>
      </c>
      <c r="E496" t="s">
        <v>328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23.25</v>
      </c>
      <c r="M496">
        <v>0</v>
      </c>
      <c r="N496">
        <v>0</v>
      </c>
      <c r="O496">
        <v>0</v>
      </c>
      <c r="P496">
        <v>0</v>
      </c>
      <c r="R496">
        <v>0</v>
      </c>
      <c r="S496">
        <v>0</v>
      </c>
      <c r="T496">
        <v>0</v>
      </c>
      <c r="U496">
        <f t="shared" si="25"/>
        <v>0</v>
      </c>
    </row>
    <row r="497" spans="1:21" x14ac:dyDescent="0.25">
      <c r="A497" t="s">
        <v>27</v>
      </c>
      <c r="B497" t="str">
        <f t="shared" si="27"/>
        <v>60461373</v>
      </c>
      <c r="C497" t="s">
        <v>246</v>
      </c>
      <c r="D497">
        <v>22670</v>
      </c>
      <c r="E497" t="s">
        <v>375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23.25</v>
      </c>
      <c r="M497">
        <v>0</v>
      </c>
      <c r="N497">
        <v>0</v>
      </c>
      <c r="O497">
        <v>0</v>
      </c>
      <c r="P497">
        <v>0</v>
      </c>
      <c r="R497">
        <v>0</v>
      </c>
      <c r="S497">
        <v>0</v>
      </c>
      <c r="T497">
        <v>0</v>
      </c>
      <c r="U497">
        <f t="shared" si="25"/>
        <v>0</v>
      </c>
    </row>
    <row r="498" spans="1:21" x14ac:dyDescent="0.25">
      <c r="A498" t="s">
        <v>27</v>
      </c>
      <c r="B498" t="str">
        <f t="shared" si="27"/>
        <v>60461373</v>
      </c>
      <c r="C498" t="s">
        <v>246</v>
      </c>
      <c r="D498">
        <v>22810</v>
      </c>
      <c r="E498" t="s">
        <v>297</v>
      </c>
      <c r="F498">
        <v>168</v>
      </c>
      <c r="G498">
        <v>1576.2580648124001</v>
      </c>
      <c r="H498">
        <v>1673.6648857045</v>
      </c>
      <c r="I498">
        <v>0</v>
      </c>
      <c r="J498">
        <v>0</v>
      </c>
      <c r="K498">
        <v>0</v>
      </c>
      <c r="L498">
        <v>23.25</v>
      </c>
      <c r="M498">
        <v>0</v>
      </c>
      <c r="N498">
        <v>80.585999999999999</v>
      </c>
      <c r="O498">
        <v>72.5274</v>
      </c>
      <c r="P498">
        <v>0</v>
      </c>
      <c r="R498">
        <v>0</v>
      </c>
      <c r="S498">
        <v>0</v>
      </c>
      <c r="T498">
        <v>7.46</v>
      </c>
      <c r="U498">
        <f t="shared" si="25"/>
        <v>1753.6522857044999</v>
      </c>
    </row>
    <row r="499" spans="1:21" x14ac:dyDescent="0.25">
      <c r="A499" t="s">
        <v>27</v>
      </c>
      <c r="B499" t="str">
        <f>"25875167"</f>
        <v>25875167</v>
      </c>
      <c r="C499" t="s">
        <v>247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R499">
        <v>0</v>
      </c>
      <c r="S499">
        <v>0</v>
      </c>
      <c r="T499">
        <v>0</v>
      </c>
      <c r="U499">
        <f t="shared" si="25"/>
        <v>0</v>
      </c>
    </row>
    <row r="500" spans="1:21" x14ac:dyDescent="0.25">
      <c r="A500" t="s">
        <v>27</v>
      </c>
      <c r="B500" t="str">
        <f>"26441021"</f>
        <v>26441021</v>
      </c>
      <c r="C500" t="s">
        <v>248</v>
      </c>
      <c r="F500">
        <v>17</v>
      </c>
      <c r="G500">
        <v>136.1550961408</v>
      </c>
      <c r="H500">
        <v>75.396719091573004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R500">
        <v>0</v>
      </c>
      <c r="S500">
        <v>0</v>
      </c>
      <c r="T500">
        <v>0</v>
      </c>
      <c r="U500">
        <f t="shared" si="25"/>
        <v>75.396719091573004</v>
      </c>
    </row>
    <row r="501" spans="1:21" x14ac:dyDescent="0.25">
      <c r="A501" t="s">
        <v>27</v>
      </c>
      <c r="B501" t="str">
        <f>"71226401"</f>
        <v>71226401</v>
      </c>
      <c r="C501" t="s">
        <v>249</v>
      </c>
      <c r="F501">
        <v>128</v>
      </c>
      <c r="G501">
        <v>1056.4187925988999</v>
      </c>
      <c r="H501">
        <v>765.21960835821005</v>
      </c>
      <c r="I501">
        <v>0</v>
      </c>
      <c r="J501">
        <v>0</v>
      </c>
      <c r="K501">
        <v>0</v>
      </c>
      <c r="L501">
        <v>1</v>
      </c>
      <c r="M501">
        <v>0</v>
      </c>
      <c r="N501">
        <v>20.902100000000001</v>
      </c>
      <c r="O501">
        <v>18.811900000000001</v>
      </c>
      <c r="P501">
        <v>0</v>
      </c>
      <c r="R501">
        <v>0</v>
      </c>
      <c r="S501">
        <v>0</v>
      </c>
      <c r="T501">
        <v>0</v>
      </c>
      <c r="U501">
        <f t="shared" si="25"/>
        <v>784.03150835821009</v>
      </c>
    </row>
    <row r="502" spans="1:21" x14ac:dyDescent="0.25">
      <c r="A502" t="s">
        <v>27</v>
      </c>
      <c r="B502" t="str">
        <f>"75081431"</f>
        <v>75081431</v>
      </c>
      <c r="C502" t="s">
        <v>250</v>
      </c>
      <c r="F502">
        <v>176</v>
      </c>
      <c r="G502">
        <v>1907.7174194329</v>
      </c>
      <c r="H502">
        <v>1169.6407071629999</v>
      </c>
      <c r="I502">
        <v>0</v>
      </c>
      <c r="J502">
        <v>0</v>
      </c>
      <c r="K502">
        <v>0</v>
      </c>
      <c r="L502">
        <v>1</v>
      </c>
      <c r="M502">
        <v>0</v>
      </c>
      <c r="N502">
        <v>102.048</v>
      </c>
      <c r="O502">
        <v>91.843199999999996</v>
      </c>
      <c r="P502">
        <v>50</v>
      </c>
      <c r="Q502">
        <v>50</v>
      </c>
      <c r="R502">
        <v>23.479444963799999</v>
      </c>
      <c r="S502">
        <v>73.479444963800006</v>
      </c>
      <c r="T502">
        <v>300.81400000000002</v>
      </c>
      <c r="U502">
        <f t="shared" si="25"/>
        <v>1635.7773521268</v>
      </c>
    </row>
    <row r="503" spans="1:21" x14ac:dyDescent="0.25">
      <c r="A503" t="s">
        <v>27</v>
      </c>
      <c r="B503" t="str">
        <f>"27132781"</f>
        <v>27132781</v>
      </c>
      <c r="C503" t="s">
        <v>251</v>
      </c>
      <c r="F503">
        <v>17</v>
      </c>
      <c r="G503">
        <v>210.45568746032001</v>
      </c>
      <c r="H503">
        <v>148.96296569685001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R503">
        <v>0</v>
      </c>
      <c r="S503">
        <v>0</v>
      </c>
      <c r="T503">
        <v>0</v>
      </c>
      <c r="U503">
        <f t="shared" si="25"/>
        <v>148.96296569685001</v>
      </c>
    </row>
    <row r="504" spans="1:21" x14ac:dyDescent="0.25">
      <c r="A504" t="s">
        <v>27</v>
      </c>
      <c r="B504" t="str">
        <f>"60461071"</f>
        <v>60461071</v>
      </c>
      <c r="C504" t="s">
        <v>252</v>
      </c>
      <c r="E504" t="s">
        <v>287</v>
      </c>
      <c r="F504">
        <v>96</v>
      </c>
      <c r="G504">
        <v>1691.3638080917001</v>
      </c>
      <c r="H504">
        <v>1297.2337655284</v>
      </c>
      <c r="I504">
        <v>0</v>
      </c>
      <c r="J504">
        <v>0</v>
      </c>
      <c r="K504">
        <v>0</v>
      </c>
      <c r="L504">
        <v>1</v>
      </c>
      <c r="M504">
        <v>0</v>
      </c>
      <c r="N504">
        <v>96.136200000000002</v>
      </c>
      <c r="O504">
        <v>86.522599999999997</v>
      </c>
      <c r="P504">
        <v>0</v>
      </c>
      <c r="R504">
        <v>0</v>
      </c>
      <c r="S504">
        <v>0</v>
      </c>
      <c r="T504">
        <v>15.281000000000001</v>
      </c>
      <c r="U504">
        <f t="shared" si="25"/>
        <v>1399.0373655284</v>
      </c>
    </row>
    <row r="505" spans="1:21" x14ac:dyDescent="0.25">
      <c r="A505" t="s">
        <v>27</v>
      </c>
      <c r="B505" t="str">
        <f>"60461071"</f>
        <v>60461071</v>
      </c>
      <c r="C505" t="s">
        <v>252</v>
      </c>
      <c r="D505">
        <v>53810</v>
      </c>
      <c r="E505" t="s">
        <v>542</v>
      </c>
      <c r="F505">
        <v>19</v>
      </c>
      <c r="G505">
        <v>638.42899932860996</v>
      </c>
      <c r="H505">
        <v>452.63183110814998</v>
      </c>
      <c r="I505">
        <v>0</v>
      </c>
      <c r="J505">
        <v>0</v>
      </c>
      <c r="K505">
        <v>0</v>
      </c>
      <c r="L505">
        <v>1</v>
      </c>
      <c r="M505">
        <v>1</v>
      </c>
      <c r="N505">
        <v>109.29</v>
      </c>
      <c r="O505">
        <v>188.643</v>
      </c>
      <c r="P505">
        <v>0</v>
      </c>
      <c r="Q505">
        <v>0</v>
      </c>
      <c r="R505">
        <v>108.00964709199999</v>
      </c>
      <c r="S505">
        <v>108.00964709199999</v>
      </c>
      <c r="T505">
        <v>288.34199999999998</v>
      </c>
      <c r="U505">
        <f t="shared" si="25"/>
        <v>1037.6264782001499</v>
      </c>
    </row>
    <row r="506" spans="1:21" x14ac:dyDescent="0.25">
      <c r="A506" t="s">
        <v>27</v>
      </c>
      <c r="B506" t="str">
        <f t="shared" ref="B506:B520" si="28">"00216305"</f>
        <v>00216305</v>
      </c>
      <c r="C506" t="s">
        <v>253</v>
      </c>
      <c r="D506">
        <v>26110</v>
      </c>
      <c r="E506" t="s">
        <v>312</v>
      </c>
      <c r="F506">
        <v>996</v>
      </c>
      <c r="G506">
        <v>14474.373819377</v>
      </c>
      <c r="H506">
        <v>11639.798803649001</v>
      </c>
      <c r="I506">
        <v>0</v>
      </c>
      <c r="J506">
        <v>0</v>
      </c>
      <c r="K506">
        <v>0</v>
      </c>
      <c r="L506">
        <v>39</v>
      </c>
      <c r="M506">
        <v>2</v>
      </c>
      <c r="N506">
        <v>2621.38</v>
      </c>
      <c r="O506">
        <v>2701.69</v>
      </c>
      <c r="P506">
        <v>60</v>
      </c>
      <c r="Q506">
        <v>58.571428298950003</v>
      </c>
      <c r="R506">
        <v>1487.4375393623</v>
      </c>
      <c r="S506">
        <v>1546.0089676612999</v>
      </c>
      <c r="T506">
        <v>11901.1</v>
      </c>
      <c r="U506">
        <f t="shared" si="25"/>
        <v>27788.597771310302</v>
      </c>
    </row>
    <row r="507" spans="1:21" x14ac:dyDescent="0.25">
      <c r="A507" t="s">
        <v>27</v>
      </c>
      <c r="B507" t="str">
        <f t="shared" si="28"/>
        <v>00216305</v>
      </c>
      <c r="C507" t="s">
        <v>253</v>
      </c>
      <c r="D507">
        <v>26210</v>
      </c>
      <c r="E507" t="s">
        <v>433</v>
      </c>
      <c r="F507">
        <v>1273</v>
      </c>
      <c r="G507">
        <v>22589.192576056001</v>
      </c>
      <c r="H507">
        <v>21937.706793803001</v>
      </c>
      <c r="I507">
        <v>0</v>
      </c>
      <c r="J507">
        <v>0</v>
      </c>
      <c r="K507">
        <v>0</v>
      </c>
      <c r="L507">
        <v>39</v>
      </c>
      <c r="M507">
        <v>0.74</v>
      </c>
      <c r="N507">
        <v>5034.96</v>
      </c>
      <c r="O507">
        <v>4658.17</v>
      </c>
      <c r="P507">
        <v>180</v>
      </c>
      <c r="Q507">
        <v>153.04029226303001</v>
      </c>
      <c r="R507">
        <v>2243.6940806386001</v>
      </c>
      <c r="S507">
        <v>2396.7343729016002</v>
      </c>
      <c r="T507">
        <v>14869.4</v>
      </c>
      <c r="U507">
        <f t="shared" si="25"/>
        <v>43862.0111667046</v>
      </c>
    </row>
    <row r="508" spans="1:21" x14ac:dyDescent="0.25">
      <c r="A508" t="s">
        <v>27</v>
      </c>
      <c r="B508" t="str">
        <f t="shared" si="28"/>
        <v>00216305</v>
      </c>
      <c r="C508" t="s">
        <v>253</v>
      </c>
      <c r="D508">
        <v>26220</v>
      </c>
      <c r="E508" t="s">
        <v>543</v>
      </c>
      <c r="F508">
        <v>1761</v>
      </c>
      <c r="G508">
        <v>22148.255410758</v>
      </c>
      <c r="H508">
        <v>19740.796944128</v>
      </c>
      <c r="I508">
        <v>0</v>
      </c>
      <c r="J508">
        <v>0</v>
      </c>
      <c r="K508">
        <v>0</v>
      </c>
      <c r="L508">
        <v>39</v>
      </c>
      <c r="M508">
        <v>0.8</v>
      </c>
      <c r="N508">
        <v>4480.74</v>
      </c>
      <c r="O508">
        <v>4169.6499999999996</v>
      </c>
      <c r="P508">
        <v>70</v>
      </c>
      <c r="Q508">
        <v>45</v>
      </c>
      <c r="R508">
        <v>1309.3045767656999</v>
      </c>
      <c r="S508">
        <v>1354.3045767656999</v>
      </c>
      <c r="T508">
        <v>12567.8</v>
      </c>
      <c r="U508">
        <f t="shared" si="25"/>
        <v>37832.551520893699</v>
      </c>
    </row>
    <row r="509" spans="1:21" x14ac:dyDescent="0.25">
      <c r="A509" t="s">
        <v>27</v>
      </c>
      <c r="B509" t="str">
        <f t="shared" si="28"/>
        <v>00216305</v>
      </c>
      <c r="C509" t="s">
        <v>253</v>
      </c>
      <c r="D509">
        <v>26230</v>
      </c>
      <c r="E509" t="s">
        <v>315</v>
      </c>
      <c r="F509">
        <v>502</v>
      </c>
      <c r="G509">
        <v>7301.9735641740999</v>
      </c>
      <c r="H509">
        <v>5674.6896728909996</v>
      </c>
      <c r="I509">
        <v>0</v>
      </c>
      <c r="J509">
        <v>0</v>
      </c>
      <c r="K509">
        <v>0</v>
      </c>
      <c r="L509">
        <v>39</v>
      </c>
      <c r="M509">
        <v>1.46</v>
      </c>
      <c r="N509">
        <v>1285.73</v>
      </c>
      <c r="O509">
        <v>1407.15</v>
      </c>
      <c r="P509">
        <v>150</v>
      </c>
      <c r="Q509">
        <v>141.42857170105</v>
      </c>
      <c r="R509">
        <v>1002.3076836699</v>
      </c>
      <c r="S509">
        <v>1143.736255371</v>
      </c>
      <c r="T509">
        <v>5319.3</v>
      </c>
      <c r="U509">
        <f t="shared" si="25"/>
        <v>13544.875928261998</v>
      </c>
    </row>
    <row r="510" spans="1:21" x14ac:dyDescent="0.25">
      <c r="A510" t="s">
        <v>27</v>
      </c>
      <c r="B510" t="str">
        <f t="shared" si="28"/>
        <v>00216305</v>
      </c>
      <c r="C510" t="s">
        <v>253</v>
      </c>
      <c r="D510">
        <v>26310</v>
      </c>
      <c r="E510" t="s">
        <v>544</v>
      </c>
      <c r="F510">
        <v>351</v>
      </c>
      <c r="G510">
        <v>8899.9142887794005</v>
      </c>
      <c r="H510">
        <v>9216.9261184369007</v>
      </c>
      <c r="I510">
        <v>0</v>
      </c>
      <c r="J510">
        <v>0</v>
      </c>
      <c r="K510">
        <v>0</v>
      </c>
      <c r="L510">
        <v>39</v>
      </c>
      <c r="M510">
        <v>1.9</v>
      </c>
      <c r="N510">
        <v>1151.1600000000001</v>
      </c>
      <c r="O510">
        <v>1361.37</v>
      </c>
      <c r="P510">
        <v>130</v>
      </c>
      <c r="Q510">
        <v>118</v>
      </c>
      <c r="R510">
        <v>408.13911755520002</v>
      </c>
      <c r="S510">
        <v>526.13911755519996</v>
      </c>
      <c r="T510">
        <v>1326.95</v>
      </c>
      <c r="U510">
        <f t="shared" si="25"/>
        <v>12431.385235992102</v>
      </c>
    </row>
    <row r="511" spans="1:21" x14ac:dyDescent="0.25">
      <c r="A511" t="s">
        <v>27</v>
      </c>
      <c r="B511" t="str">
        <f t="shared" si="28"/>
        <v>00216305</v>
      </c>
      <c r="C511" t="s">
        <v>253</v>
      </c>
      <c r="D511">
        <v>26410</v>
      </c>
      <c r="E511" t="s">
        <v>318</v>
      </c>
      <c r="F511">
        <v>41</v>
      </c>
      <c r="G511">
        <v>564.29632805656001</v>
      </c>
      <c r="H511">
        <v>412.39276465114</v>
      </c>
      <c r="I511">
        <v>0</v>
      </c>
      <c r="J511">
        <v>0</v>
      </c>
      <c r="K511">
        <v>0</v>
      </c>
      <c r="L511">
        <v>39</v>
      </c>
      <c r="M511">
        <v>0</v>
      </c>
      <c r="N511">
        <v>16.689599999999999</v>
      </c>
      <c r="O511">
        <v>15.0206</v>
      </c>
      <c r="P511">
        <v>0</v>
      </c>
      <c r="Q511">
        <v>0</v>
      </c>
      <c r="R511">
        <v>10.563650104500001</v>
      </c>
      <c r="S511">
        <v>10.563650104500001</v>
      </c>
      <c r="T511">
        <v>23.1968</v>
      </c>
      <c r="U511">
        <f t="shared" si="25"/>
        <v>461.17381475564002</v>
      </c>
    </row>
    <row r="512" spans="1:21" x14ac:dyDescent="0.25">
      <c r="A512" t="s">
        <v>27</v>
      </c>
      <c r="B512" t="str">
        <f t="shared" si="28"/>
        <v>00216305</v>
      </c>
      <c r="C512" t="s">
        <v>253</v>
      </c>
      <c r="D512">
        <v>26420</v>
      </c>
      <c r="E512" t="s">
        <v>545</v>
      </c>
      <c r="F512">
        <v>35</v>
      </c>
      <c r="G512">
        <v>733.68343943466004</v>
      </c>
      <c r="H512">
        <v>454.50259695058003</v>
      </c>
      <c r="I512">
        <v>0</v>
      </c>
      <c r="J512">
        <v>0</v>
      </c>
      <c r="K512">
        <v>0</v>
      </c>
      <c r="L512">
        <v>39</v>
      </c>
      <c r="M512">
        <v>0</v>
      </c>
      <c r="N512">
        <v>7.5087000000000002</v>
      </c>
      <c r="O512">
        <v>6.7578300000000002</v>
      </c>
      <c r="P512">
        <v>0</v>
      </c>
      <c r="R512">
        <v>0</v>
      </c>
      <c r="S512">
        <v>0</v>
      </c>
      <c r="T512">
        <v>0</v>
      </c>
      <c r="U512">
        <f t="shared" si="25"/>
        <v>461.26042695058004</v>
      </c>
    </row>
    <row r="513" spans="1:21" x14ac:dyDescent="0.25">
      <c r="A513" t="s">
        <v>27</v>
      </c>
      <c r="B513" t="str">
        <f t="shared" si="28"/>
        <v>00216305</v>
      </c>
      <c r="C513" t="s">
        <v>253</v>
      </c>
      <c r="D513">
        <v>26510</v>
      </c>
      <c r="E513" t="s">
        <v>546</v>
      </c>
      <c r="F513">
        <v>533</v>
      </c>
      <c r="G513">
        <v>5760.7441250674001</v>
      </c>
      <c r="H513">
        <v>3792.5651368488998</v>
      </c>
      <c r="I513">
        <v>0</v>
      </c>
      <c r="J513">
        <v>0</v>
      </c>
      <c r="K513">
        <v>0</v>
      </c>
      <c r="L513">
        <v>39</v>
      </c>
      <c r="M513">
        <v>0</v>
      </c>
      <c r="N513">
        <v>311.702</v>
      </c>
      <c r="O513">
        <v>280.53199999999998</v>
      </c>
      <c r="P513">
        <v>0</v>
      </c>
      <c r="R513">
        <v>0</v>
      </c>
      <c r="S513">
        <v>0</v>
      </c>
      <c r="T513">
        <v>0</v>
      </c>
      <c r="U513">
        <f t="shared" si="25"/>
        <v>4073.0971368488999</v>
      </c>
    </row>
    <row r="514" spans="1:21" x14ac:dyDescent="0.25">
      <c r="A514" t="s">
        <v>27</v>
      </c>
      <c r="B514" t="str">
        <f t="shared" si="28"/>
        <v>00216305</v>
      </c>
      <c r="C514" t="s">
        <v>253</v>
      </c>
      <c r="D514">
        <v>26610</v>
      </c>
      <c r="E514" t="s">
        <v>547</v>
      </c>
      <c r="F514">
        <v>21</v>
      </c>
      <c r="G514">
        <v>76.766685278376002</v>
      </c>
      <c r="H514">
        <v>74.057591365307005</v>
      </c>
      <c r="I514">
        <v>0</v>
      </c>
      <c r="J514">
        <v>0</v>
      </c>
      <c r="K514">
        <v>0</v>
      </c>
      <c r="L514">
        <v>39</v>
      </c>
      <c r="M514">
        <v>0</v>
      </c>
      <c r="N514">
        <v>26.188199999999998</v>
      </c>
      <c r="O514">
        <v>23.569400000000002</v>
      </c>
      <c r="P514">
        <v>0</v>
      </c>
      <c r="Q514">
        <v>0</v>
      </c>
      <c r="R514">
        <v>22.8494061902</v>
      </c>
      <c r="S514">
        <v>22.8494061902</v>
      </c>
      <c r="T514">
        <v>34.814999999999998</v>
      </c>
      <c r="U514">
        <f t="shared" si="25"/>
        <v>155.29139755550699</v>
      </c>
    </row>
    <row r="515" spans="1:21" x14ac:dyDescent="0.25">
      <c r="A515" t="s">
        <v>27</v>
      </c>
      <c r="B515" t="str">
        <f t="shared" si="28"/>
        <v>00216305</v>
      </c>
      <c r="C515" t="s">
        <v>253</v>
      </c>
      <c r="D515">
        <v>26620</v>
      </c>
      <c r="E515" t="s">
        <v>371</v>
      </c>
      <c r="F515">
        <v>438</v>
      </c>
      <c r="G515">
        <v>14216.522212652</v>
      </c>
      <c r="H515">
        <v>14680.235601928</v>
      </c>
      <c r="I515">
        <v>0</v>
      </c>
      <c r="J515">
        <v>0</v>
      </c>
      <c r="K515">
        <v>0</v>
      </c>
      <c r="L515">
        <v>39</v>
      </c>
      <c r="M515">
        <v>1.5</v>
      </c>
      <c r="N515">
        <v>255.21700000000001</v>
      </c>
      <c r="O515">
        <v>486.53199999999998</v>
      </c>
      <c r="P515">
        <v>90</v>
      </c>
      <c r="Q515">
        <v>65.735294342041001</v>
      </c>
      <c r="R515">
        <v>729.73190890670003</v>
      </c>
      <c r="S515">
        <v>795.4672032487</v>
      </c>
      <c r="T515">
        <v>1549.53</v>
      </c>
      <c r="U515">
        <f t="shared" si="25"/>
        <v>17511.764805176699</v>
      </c>
    </row>
    <row r="516" spans="1:21" x14ac:dyDescent="0.25">
      <c r="A516" t="s">
        <v>27</v>
      </c>
      <c r="B516" t="str">
        <f t="shared" si="28"/>
        <v>00216305</v>
      </c>
      <c r="C516" t="s">
        <v>253</v>
      </c>
      <c r="D516">
        <v>26630</v>
      </c>
      <c r="E516" t="s">
        <v>548</v>
      </c>
      <c r="F516">
        <v>6</v>
      </c>
      <c r="G516">
        <v>44.096661266234001</v>
      </c>
      <c r="H516">
        <v>26.491269117636001</v>
      </c>
      <c r="I516">
        <v>0</v>
      </c>
      <c r="J516">
        <v>0</v>
      </c>
      <c r="K516">
        <v>0</v>
      </c>
      <c r="L516">
        <v>39</v>
      </c>
      <c r="M516">
        <v>0</v>
      </c>
      <c r="N516">
        <v>0</v>
      </c>
      <c r="O516">
        <v>0</v>
      </c>
      <c r="P516">
        <v>0</v>
      </c>
      <c r="R516">
        <v>0</v>
      </c>
      <c r="S516">
        <v>0</v>
      </c>
      <c r="T516">
        <v>0</v>
      </c>
      <c r="U516">
        <f t="shared" si="25"/>
        <v>26.491269117636001</v>
      </c>
    </row>
    <row r="517" spans="1:21" x14ac:dyDescent="0.25">
      <c r="A517" t="s">
        <v>27</v>
      </c>
      <c r="B517" t="str">
        <f t="shared" si="28"/>
        <v>00216305</v>
      </c>
      <c r="C517" t="s">
        <v>253</v>
      </c>
      <c r="D517">
        <v>26640</v>
      </c>
      <c r="E517" t="s">
        <v>549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39</v>
      </c>
      <c r="M517">
        <v>0</v>
      </c>
      <c r="N517">
        <v>2.4344999999999999</v>
      </c>
      <c r="O517">
        <v>2.1910500000000002</v>
      </c>
      <c r="P517">
        <v>0</v>
      </c>
      <c r="R517">
        <v>0</v>
      </c>
      <c r="S517">
        <v>0</v>
      </c>
      <c r="T517">
        <v>13.525499999999999</v>
      </c>
      <c r="U517">
        <f t="shared" ref="U517:U580" si="29">H517+K517+O517+S517+T517</f>
        <v>15.71655</v>
      </c>
    </row>
    <row r="518" spans="1:21" x14ac:dyDescent="0.25">
      <c r="A518" t="s">
        <v>27</v>
      </c>
      <c r="B518" t="str">
        <f t="shared" si="28"/>
        <v>00216305</v>
      </c>
      <c r="C518" t="s">
        <v>253</v>
      </c>
      <c r="D518">
        <v>26650</v>
      </c>
      <c r="E518" t="s">
        <v>386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39</v>
      </c>
      <c r="M518">
        <v>0</v>
      </c>
      <c r="N518">
        <v>0</v>
      </c>
      <c r="O518">
        <v>0</v>
      </c>
      <c r="P518">
        <v>0</v>
      </c>
      <c r="R518">
        <v>0</v>
      </c>
      <c r="S518">
        <v>0</v>
      </c>
      <c r="T518">
        <v>0</v>
      </c>
      <c r="U518">
        <f t="shared" si="29"/>
        <v>0</v>
      </c>
    </row>
    <row r="519" spans="1:21" x14ac:dyDescent="0.25">
      <c r="A519" t="s">
        <v>27</v>
      </c>
      <c r="B519" t="str">
        <f t="shared" si="28"/>
        <v>00216305</v>
      </c>
      <c r="C519" t="s">
        <v>253</v>
      </c>
      <c r="D519">
        <v>26700</v>
      </c>
      <c r="E519" t="s">
        <v>328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39</v>
      </c>
      <c r="M519">
        <v>0</v>
      </c>
      <c r="N519">
        <v>0</v>
      </c>
      <c r="O519">
        <v>0</v>
      </c>
      <c r="P519">
        <v>0</v>
      </c>
      <c r="R519">
        <v>0</v>
      </c>
      <c r="S519">
        <v>0</v>
      </c>
      <c r="T519">
        <v>0</v>
      </c>
      <c r="U519">
        <f t="shared" si="29"/>
        <v>0</v>
      </c>
    </row>
    <row r="520" spans="1:21" x14ac:dyDescent="0.25">
      <c r="A520" t="s">
        <v>27</v>
      </c>
      <c r="B520" t="str">
        <f t="shared" si="28"/>
        <v>00216305</v>
      </c>
      <c r="C520" t="s">
        <v>253</v>
      </c>
      <c r="D520">
        <v>26810</v>
      </c>
      <c r="E520" t="s">
        <v>550</v>
      </c>
      <c r="F520">
        <v>1</v>
      </c>
      <c r="G520">
        <v>12.364000320435</v>
      </c>
      <c r="H520">
        <v>8.7709999084472994</v>
      </c>
      <c r="I520">
        <v>0</v>
      </c>
      <c r="J520">
        <v>0</v>
      </c>
      <c r="K520">
        <v>0</v>
      </c>
      <c r="L520">
        <v>39</v>
      </c>
      <c r="M520">
        <v>0</v>
      </c>
      <c r="N520">
        <v>0.79020000000000001</v>
      </c>
      <c r="O520">
        <v>0.71118000000000003</v>
      </c>
      <c r="P520">
        <v>0</v>
      </c>
      <c r="Q520">
        <v>0</v>
      </c>
      <c r="R520">
        <v>133.56822000880001</v>
      </c>
      <c r="S520">
        <v>133.56822000880001</v>
      </c>
      <c r="T520">
        <v>13.0068</v>
      </c>
      <c r="U520">
        <f t="shared" si="29"/>
        <v>156.05719991724732</v>
      </c>
    </row>
    <row r="521" spans="1:21" x14ac:dyDescent="0.25">
      <c r="A521" t="s">
        <v>27</v>
      </c>
      <c r="B521" t="str">
        <f>"02819180"</f>
        <v>02819180</v>
      </c>
      <c r="C521" t="s">
        <v>254</v>
      </c>
      <c r="F521">
        <v>7</v>
      </c>
      <c r="G521">
        <v>52</v>
      </c>
      <c r="H521">
        <v>12.4427419664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1.6801033963000001</v>
      </c>
      <c r="S521">
        <v>1.6801033963000001</v>
      </c>
      <c r="T521">
        <v>0</v>
      </c>
      <c r="U521">
        <f t="shared" si="29"/>
        <v>14.1228453627</v>
      </c>
    </row>
    <row r="522" spans="1:21" x14ac:dyDescent="0.25">
      <c r="A522" t="s">
        <v>29</v>
      </c>
      <c r="B522" t="str">
        <f>"27184145"</f>
        <v>27184145</v>
      </c>
      <c r="C522" t="s">
        <v>255</v>
      </c>
      <c r="F522">
        <v>14</v>
      </c>
      <c r="G522">
        <v>115.21450342523001</v>
      </c>
      <c r="H522">
        <v>118.51675785984</v>
      </c>
      <c r="I522">
        <v>0</v>
      </c>
      <c r="J522">
        <v>0</v>
      </c>
      <c r="K522">
        <v>0</v>
      </c>
      <c r="L522">
        <v>1</v>
      </c>
      <c r="M522">
        <v>1</v>
      </c>
      <c r="N522">
        <v>99.558899999999994</v>
      </c>
      <c r="O522">
        <v>133.358</v>
      </c>
      <c r="P522">
        <v>275</v>
      </c>
      <c r="Q522">
        <v>216.66666221618999</v>
      </c>
      <c r="R522">
        <v>136.9284268015</v>
      </c>
      <c r="S522">
        <v>353.59508901769999</v>
      </c>
      <c r="T522">
        <v>1221.1300000000001</v>
      </c>
      <c r="U522">
        <f t="shared" si="29"/>
        <v>1826.5998468775401</v>
      </c>
    </row>
    <row r="523" spans="1:21" x14ac:dyDescent="0.25">
      <c r="A523" t="s">
        <v>29</v>
      </c>
      <c r="B523" t="str">
        <f>"25271121"</f>
        <v>25271121</v>
      </c>
      <c r="C523" t="s">
        <v>256</v>
      </c>
      <c r="F523">
        <v>136</v>
      </c>
      <c r="G523">
        <v>1338.6155146210001</v>
      </c>
      <c r="H523">
        <v>1187.6789716987</v>
      </c>
      <c r="I523">
        <v>0</v>
      </c>
      <c r="J523">
        <v>0</v>
      </c>
      <c r="K523">
        <v>0</v>
      </c>
      <c r="L523">
        <v>1.4</v>
      </c>
      <c r="M523">
        <v>1</v>
      </c>
      <c r="N523">
        <v>291.51600000000002</v>
      </c>
      <c r="O523">
        <v>353.87700000000001</v>
      </c>
      <c r="P523">
        <v>125</v>
      </c>
      <c r="Q523">
        <v>125</v>
      </c>
      <c r="R523">
        <v>396.67241187510001</v>
      </c>
      <c r="S523">
        <v>521.67241187510001</v>
      </c>
      <c r="T523">
        <v>1584.01</v>
      </c>
      <c r="U523">
        <f t="shared" si="29"/>
        <v>3647.2383835738001</v>
      </c>
    </row>
    <row r="524" spans="1:21" x14ac:dyDescent="0.25">
      <c r="A524" t="s">
        <v>63</v>
      </c>
      <c r="B524" t="str">
        <f>"00010669"</f>
        <v>00010669</v>
      </c>
      <c r="C524" t="s">
        <v>257</v>
      </c>
      <c r="F524">
        <v>99</v>
      </c>
      <c r="G524">
        <v>1412.5559476967001</v>
      </c>
      <c r="H524">
        <v>1127.7224789647</v>
      </c>
      <c r="I524">
        <v>0</v>
      </c>
      <c r="J524">
        <v>0</v>
      </c>
      <c r="K524">
        <v>0</v>
      </c>
      <c r="L524">
        <v>4.5</v>
      </c>
      <c r="M524">
        <v>0</v>
      </c>
      <c r="N524">
        <v>995.94899999999996</v>
      </c>
      <c r="O524">
        <v>896.35400000000004</v>
      </c>
      <c r="P524">
        <v>0</v>
      </c>
      <c r="Q524">
        <v>0</v>
      </c>
      <c r="R524">
        <v>831.48317084730002</v>
      </c>
      <c r="S524">
        <v>831.48317084730002</v>
      </c>
      <c r="T524">
        <v>9490.7800000000007</v>
      </c>
      <c r="U524">
        <f t="shared" si="29"/>
        <v>12346.339649812002</v>
      </c>
    </row>
    <row r="525" spans="1:21" x14ac:dyDescent="0.25">
      <c r="A525" t="s">
        <v>63</v>
      </c>
      <c r="B525" t="str">
        <f>"47718684"</f>
        <v>47718684</v>
      </c>
      <c r="C525" t="s">
        <v>258</v>
      </c>
      <c r="F525">
        <v>51</v>
      </c>
      <c r="G525">
        <v>655.24690693549996</v>
      </c>
      <c r="H525">
        <v>536.1833723981</v>
      </c>
      <c r="I525">
        <v>0</v>
      </c>
      <c r="J525">
        <v>0</v>
      </c>
      <c r="K525">
        <v>0</v>
      </c>
      <c r="L525">
        <v>2</v>
      </c>
      <c r="M525">
        <v>0</v>
      </c>
      <c r="N525">
        <v>312.47800000000001</v>
      </c>
      <c r="O525">
        <v>281.23</v>
      </c>
      <c r="P525">
        <v>10</v>
      </c>
      <c r="Q525">
        <v>10</v>
      </c>
      <c r="R525">
        <v>762.28391221070001</v>
      </c>
      <c r="S525">
        <v>772.28391221070001</v>
      </c>
      <c r="T525">
        <v>2532.5100000000002</v>
      </c>
      <c r="U525">
        <f t="shared" si="29"/>
        <v>4122.2072846088004</v>
      </c>
    </row>
    <row r="526" spans="1:21" x14ac:dyDescent="0.25">
      <c r="A526" t="s">
        <v>27</v>
      </c>
      <c r="B526" t="str">
        <f>"00025950"</f>
        <v>00025950</v>
      </c>
      <c r="C526" t="s">
        <v>259</v>
      </c>
      <c r="F526">
        <v>11</v>
      </c>
      <c r="G526">
        <v>129.95611666667</v>
      </c>
      <c r="H526">
        <v>104.46429027720001</v>
      </c>
      <c r="I526">
        <v>0</v>
      </c>
      <c r="J526">
        <v>0</v>
      </c>
      <c r="K526">
        <v>0</v>
      </c>
      <c r="L526">
        <v>1</v>
      </c>
      <c r="M526">
        <v>0</v>
      </c>
      <c r="N526">
        <v>85.808199999999999</v>
      </c>
      <c r="O526">
        <v>77.227400000000003</v>
      </c>
      <c r="P526">
        <v>0</v>
      </c>
      <c r="Q526">
        <v>0</v>
      </c>
      <c r="R526">
        <v>279.46419868829997</v>
      </c>
      <c r="S526">
        <v>279.46419868829997</v>
      </c>
      <c r="T526">
        <v>191.44300000000001</v>
      </c>
      <c r="U526">
        <f t="shared" si="29"/>
        <v>652.59888896550001</v>
      </c>
    </row>
    <row r="527" spans="1:21" x14ac:dyDescent="0.25">
      <c r="A527" t="s">
        <v>29</v>
      </c>
      <c r="B527" t="str">
        <f>"60109807"</f>
        <v>60109807</v>
      </c>
      <c r="C527" t="s">
        <v>260</v>
      </c>
      <c r="F527">
        <v>31</v>
      </c>
      <c r="G527">
        <v>259.23567214871002</v>
      </c>
      <c r="H527">
        <v>263.06758075165999</v>
      </c>
      <c r="I527">
        <v>0</v>
      </c>
      <c r="J527">
        <v>0</v>
      </c>
      <c r="K527">
        <v>0</v>
      </c>
      <c r="L527">
        <v>1</v>
      </c>
      <c r="M527">
        <v>0</v>
      </c>
      <c r="N527">
        <v>385.47199999999998</v>
      </c>
      <c r="O527">
        <v>346.92500000000001</v>
      </c>
      <c r="P527">
        <v>25</v>
      </c>
      <c r="Q527">
        <v>25</v>
      </c>
      <c r="R527">
        <v>132.8961786504</v>
      </c>
      <c r="S527">
        <v>157.8961786504</v>
      </c>
      <c r="T527">
        <v>1457.92</v>
      </c>
      <c r="U527">
        <f t="shared" si="29"/>
        <v>2225.8087594020599</v>
      </c>
    </row>
    <row r="528" spans="1:21" x14ac:dyDescent="0.25">
      <c r="A528" t="s">
        <v>27</v>
      </c>
      <c r="B528" t="str">
        <f>"00025615"</f>
        <v>00025615</v>
      </c>
      <c r="C528" t="s">
        <v>261</v>
      </c>
      <c r="F528">
        <v>53</v>
      </c>
      <c r="G528">
        <v>889.80206165169</v>
      </c>
      <c r="H528">
        <v>792.63979348722</v>
      </c>
      <c r="I528">
        <v>0</v>
      </c>
      <c r="J528">
        <v>0</v>
      </c>
      <c r="K528">
        <v>0</v>
      </c>
      <c r="L528">
        <v>2</v>
      </c>
      <c r="M528">
        <v>0</v>
      </c>
      <c r="N528">
        <v>633.52099999999996</v>
      </c>
      <c r="O528">
        <v>570.16899999999998</v>
      </c>
      <c r="P528">
        <v>0</v>
      </c>
      <c r="Q528">
        <v>0</v>
      </c>
      <c r="R528">
        <v>244.11902348780001</v>
      </c>
      <c r="S528">
        <v>244.11902348780001</v>
      </c>
      <c r="T528">
        <v>1966.42</v>
      </c>
      <c r="U528">
        <f t="shared" si="29"/>
        <v>3573.3478169750201</v>
      </c>
    </row>
    <row r="529" spans="1:21" x14ac:dyDescent="0.25">
      <c r="A529" t="s">
        <v>29</v>
      </c>
      <c r="B529" t="str">
        <f>"00020702"</f>
        <v>00020702</v>
      </c>
      <c r="C529" t="s">
        <v>262</v>
      </c>
      <c r="F529">
        <v>199</v>
      </c>
      <c r="G529">
        <v>2759.5284018175998</v>
      </c>
      <c r="H529">
        <v>2741.9743136961001</v>
      </c>
      <c r="I529">
        <v>0</v>
      </c>
      <c r="J529">
        <v>0</v>
      </c>
      <c r="K529">
        <v>0</v>
      </c>
      <c r="L529">
        <v>2</v>
      </c>
      <c r="M529">
        <v>0</v>
      </c>
      <c r="N529">
        <v>423.69900000000001</v>
      </c>
      <c r="O529">
        <v>381.32900000000001</v>
      </c>
      <c r="P529">
        <v>0</v>
      </c>
      <c r="Q529">
        <v>0</v>
      </c>
      <c r="R529">
        <v>480.95059849400002</v>
      </c>
      <c r="S529">
        <v>480.95059849400002</v>
      </c>
      <c r="T529">
        <v>1810.11</v>
      </c>
      <c r="U529">
        <f t="shared" si="29"/>
        <v>5414.3639121901006</v>
      </c>
    </row>
    <row r="530" spans="1:21" x14ac:dyDescent="0.25">
      <c r="A530" t="s">
        <v>29</v>
      </c>
      <c r="B530" t="str">
        <f>"00027049"</f>
        <v>00027049</v>
      </c>
      <c r="C530" t="s">
        <v>263</v>
      </c>
      <c r="F530">
        <v>79</v>
      </c>
      <c r="G530">
        <v>908.11179863388998</v>
      </c>
      <c r="H530">
        <v>870.42888687124002</v>
      </c>
      <c r="I530">
        <v>0</v>
      </c>
      <c r="J530">
        <v>0</v>
      </c>
      <c r="K530">
        <v>0</v>
      </c>
      <c r="L530">
        <v>1</v>
      </c>
      <c r="M530">
        <v>0</v>
      </c>
      <c r="N530">
        <v>239.85900000000001</v>
      </c>
      <c r="O530">
        <v>215.87299999999999</v>
      </c>
      <c r="P530">
        <v>50</v>
      </c>
      <c r="Q530">
        <v>50</v>
      </c>
      <c r="R530">
        <v>462.8894869833</v>
      </c>
      <c r="S530">
        <v>512.8894869833</v>
      </c>
      <c r="T530">
        <v>1849.82</v>
      </c>
      <c r="U530">
        <f t="shared" si="29"/>
        <v>3449.0113738545397</v>
      </c>
    </row>
    <row r="531" spans="1:21" x14ac:dyDescent="0.25">
      <c r="A531" t="s">
        <v>29</v>
      </c>
      <c r="B531" t="str">
        <f>"26722861"</f>
        <v>26722861</v>
      </c>
      <c r="C531" t="s">
        <v>264</v>
      </c>
      <c r="F531">
        <v>68</v>
      </c>
      <c r="G531">
        <v>549.96940000324003</v>
      </c>
      <c r="H531">
        <v>515.76993369262004</v>
      </c>
      <c r="I531">
        <v>0</v>
      </c>
      <c r="J531">
        <v>0</v>
      </c>
      <c r="K531">
        <v>0</v>
      </c>
      <c r="L531">
        <v>1</v>
      </c>
      <c r="M531">
        <v>0</v>
      </c>
      <c r="N531">
        <v>205.71899999999999</v>
      </c>
      <c r="O531">
        <v>185.14699999999999</v>
      </c>
      <c r="P531">
        <v>50</v>
      </c>
      <c r="Q531">
        <v>10</v>
      </c>
      <c r="R531">
        <v>440.96413766120003</v>
      </c>
      <c r="S531">
        <v>450.96413766120003</v>
      </c>
      <c r="T531">
        <v>1847.12</v>
      </c>
      <c r="U531">
        <f t="shared" si="29"/>
        <v>2999.00107135382</v>
      </c>
    </row>
    <row r="532" spans="1:21" x14ac:dyDescent="0.25">
      <c r="A532" t="s">
        <v>29</v>
      </c>
      <c r="B532" t="str">
        <f>"60193697"</f>
        <v>60193697</v>
      </c>
      <c r="C532" t="s">
        <v>265</v>
      </c>
      <c r="F532">
        <v>88</v>
      </c>
      <c r="G532">
        <v>1246.0764375440001</v>
      </c>
      <c r="H532">
        <v>1338.4069078998</v>
      </c>
      <c r="I532">
        <v>0</v>
      </c>
      <c r="J532">
        <v>0</v>
      </c>
      <c r="K532">
        <v>0</v>
      </c>
      <c r="L532">
        <v>1</v>
      </c>
      <c r="M532">
        <v>0</v>
      </c>
      <c r="N532">
        <v>357.048</v>
      </c>
      <c r="O532">
        <v>321.34300000000002</v>
      </c>
      <c r="P532">
        <v>120</v>
      </c>
      <c r="Q532">
        <v>111.66666650772</v>
      </c>
      <c r="R532">
        <v>215.89328642929999</v>
      </c>
      <c r="S532">
        <v>327.55995293709998</v>
      </c>
      <c r="T532">
        <v>1179.24</v>
      </c>
      <c r="U532">
        <f t="shared" si="29"/>
        <v>3166.5498608368998</v>
      </c>
    </row>
    <row r="533" spans="1:21" x14ac:dyDescent="0.25">
      <c r="A533" t="s">
        <v>29</v>
      </c>
      <c r="B533" t="str">
        <f>"00027022"</f>
        <v>00027022</v>
      </c>
      <c r="C533" t="s">
        <v>266</v>
      </c>
      <c r="F533">
        <v>48</v>
      </c>
      <c r="G533">
        <v>502.06166130912999</v>
      </c>
      <c r="H533">
        <v>501.76499718060001</v>
      </c>
      <c r="I533">
        <v>0</v>
      </c>
      <c r="J533">
        <v>0</v>
      </c>
      <c r="K533">
        <v>0</v>
      </c>
      <c r="L533">
        <v>1.83</v>
      </c>
      <c r="M533">
        <v>0</v>
      </c>
      <c r="N533">
        <v>312.08600000000001</v>
      </c>
      <c r="O533">
        <v>280.87700000000001</v>
      </c>
      <c r="P533">
        <v>40</v>
      </c>
      <c r="Q533">
        <v>29.313131332396999</v>
      </c>
      <c r="R533">
        <v>149.06717384000001</v>
      </c>
      <c r="S533">
        <v>178.3803051724</v>
      </c>
      <c r="T533">
        <v>1820.3</v>
      </c>
      <c r="U533">
        <f t="shared" si="29"/>
        <v>2781.3223023529999</v>
      </c>
    </row>
    <row r="534" spans="1:21" x14ac:dyDescent="0.25">
      <c r="A534" t="s">
        <v>27</v>
      </c>
      <c r="B534" t="str">
        <f>"25052063"</f>
        <v>25052063</v>
      </c>
      <c r="C534" t="s">
        <v>267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R534">
        <v>0</v>
      </c>
      <c r="S534">
        <v>0</v>
      </c>
      <c r="T534">
        <v>0</v>
      </c>
      <c r="U534">
        <f t="shared" si="29"/>
        <v>0</v>
      </c>
    </row>
    <row r="535" spans="1:21" x14ac:dyDescent="0.25">
      <c r="A535" t="s">
        <v>27</v>
      </c>
      <c r="B535" t="str">
        <f>"45773009"</f>
        <v>45773009</v>
      </c>
      <c r="C535" t="s">
        <v>268</v>
      </c>
      <c r="F535">
        <v>110</v>
      </c>
      <c r="G535">
        <v>1931.3536811014999</v>
      </c>
      <c r="H535">
        <v>1443.6335964041</v>
      </c>
      <c r="I535">
        <v>0</v>
      </c>
      <c r="J535">
        <v>0</v>
      </c>
      <c r="K535">
        <v>0</v>
      </c>
      <c r="L535">
        <v>1</v>
      </c>
      <c r="M535">
        <v>0</v>
      </c>
      <c r="N535">
        <v>308.34100000000001</v>
      </c>
      <c r="O535">
        <v>277.50700000000001</v>
      </c>
      <c r="P535">
        <v>0</v>
      </c>
      <c r="Q535">
        <v>0</v>
      </c>
      <c r="R535">
        <v>164.188104407</v>
      </c>
      <c r="S535">
        <v>164.188104407</v>
      </c>
      <c r="T535">
        <v>583.63300000000004</v>
      </c>
      <c r="U535">
        <f t="shared" si="29"/>
        <v>2468.9617008110999</v>
      </c>
    </row>
    <row r="536" spans="1:21" x14ac:dyDescent="0.25">
      <c r="A536" t="s">
        <v>29</v>
      </c>
      <c r="B536" t="str">
        <f>"00027006"</f>
        <v>00027006</v>
      </c>
      <c r="C536" t="s">
        <v>269</v>
      </c>
      <c r="F536">
        <v>633</v>
      </c>
      <c r="G536">
        <v>11539.383375652</v>
      </c>
      <c r="H536">
        <v>11343.872145833</v>
      </c>
      <c r="I536">
        <v>0</v>
      </c>
      <c r="J536">
        <v>0</v>
      </c>
      <c r="K536">
        <v>0</v>
      </c>
      <c r="L536">
        <v>9</v>
      </c>
      <c r="M536">
        <v>2.4500000000000002</v>
      </c>
      <c r="N536">
        <v>2306.63</v>
      </c>
      <c r="O536">
        <v>2351.9299999999998</v>
      </c>
      <c r="P536">
        <v>35</v>
      </c>
      <c r="Q536">
        <v>35</v>
      </c>
      <c r="R536">
        <v>1219.9860799578</v>
      </c>
      <c r="S536">
        <v>1254.9860799578</v>
      </c>
      <c r="T536">
        <v>6245.38</v>
      </c>
      <c r="U536">
        <f t="shared" si="29"/>
        <v>21196.1682257908</v>
      </c>
    </row>
    <row r="537" spans="1:21" x14ac:dyDescent="0.25">
      <c r="A537" t="s">
        <v>27</v>
      </c>
      <c r="B537" t="str">
        <f>"00027073"</f>
        <v>00027073</v>
      </c>
      <c r="C537" t="s">
        <v>270</v>
      </c>
      <c r="F537">
        <v>222</v>
      </c>
      <c r="G537">
        <v>4755.4581478118998</v>
      </c>
      <c r="H537">
        <v>4500.5935659976003</v>
      </c>
      <c r="I537">
        <v>0</v>
      </c>
      <c r="J537">
        <v>0</v>
      </c>
      <c r="K537">
        <v>0</v>
      </c>
      <c r="L537">
        <v>4.37</v>
      </c>
      <c r="M537">
        <v>0</v>
      </c>
      <c r="N537">
        <v>1626.54</v>
      </c>
      <c r="O537">
        <v>1463.89</v>
      </c>
      <c r="P537">
        <v>475</v>
      </c>
      <c r="Q537">
        <v>475</v>
      </c>
      <c r="R537">
        <v>453.31289762429998</v>
      </c>
      <c r="S537">
        <v>928.31289762430004</v>
      </c>
      <c r="T537">
        <v>7855.73</v>
      </c>
      <c r="U537">
        <f t="shared" si="29"/>
        <v>14748.5264636219</v>
      </c>
    </row>
    <row r="538" spans="1:21" x14ac:dyDescent="0.25">
      <c r="A538" t="s">
        <v>63</v>
      </c>
      <c r="B538" t="str">
        <f>"26232511"</f>
        <v>26232511</v>
      </c>
      <c r="C538" t="s">
        <v>271</v>
      </c>
      <c r="F538">
        <v>17</v>
      </c>
      <c r="G538">
        <v>167.38523732811001</v>
      </c>
      <c r="H538">
        <v>131.61888655293001</v>
      </c>
      <c r="I538">
        <v>0</v>
      </c>
      <c r="J538">
        <v>0</v>
      </c>
      <c r="K538">
        <v>0</v>
      </c>
      <c r="L538">
        <v>2</v>
      </c>
      <c r="M538">
        <v>0</v>
      </c>
      <c r="N538">
        <v>559.57399999999996</v>
      </c>
      <c r="O538">
        <v>503.61700000000002</v>
      </c>
      <c r="P538">
        <v>10</v>
      </c>
      <c r="Q538">
        <v>5</v>
      </c>
      <c r="R538">
        <v>329.42627343689998</v>
      </c>
      <c r="S538">
        <v>334.42627343689998</v>
      </c>
      <c r="T538">
        <v>2844.17</v>
      </c>
      <c r="U538">
        <f t="shared" si="29"/>
        <v>3813.83215998983</v>
      </c>
    </row>
    <row r="539" spans="1:21" x14ac:dyDescent="0.25">
      <c r="A539" t="s">
        <v>29</v>
      </c>
      <c r="B539" t="str">
        <f>"00027162"</f>
        <v>00027162</v>
      </c>
      <c r="C539" t="s">
        <v>272</v>
      </c>
      <c r="F539">
        <v>424</v>
      </c>
      <c r="G539">
        <v>12781.152587606</v>
      </c>
      <c r="H539">
        <v>12623.654482507</v>
      </c>
      <c r="I539">
        <v>0</v>
      </c>
      <c r="J539">
        <v>0</v>
      </c>
      <c r="K539">
        <v>0</v>
      </c>
      <c r="L539">
        <v>7</v>
      </c>
      <c r="M539">
        <v>0.75</v>
      </c>
      <c r="N539">
        <v>2190.9</v>
      </c>
      <c r="O539">
        <v>2074.9699999999998</v>
      </c>
      <c r="P539">
        <v>200</v>
      </c>
      <c r="Q539">
        <v>86.153846740722997</v>
      </c>
      <c r="R539">
        <v>938.63176494870004</v>
      </c>
      <c r="S539">
        <v>1024.7856116894</v>
      </c>
      <c r="T539">
        <v>3125.02</v>
      </c>
      <c r="U539">
        <f t="shared" si="29"/>
        <v>18848.430094196399</v>
      </c>
    </row>
    <row r="540" spans="1:21" x14ac:dyDescent="0.25">
      <c r="A540" t="s">
        <v>27</v>
      </c>
      <c r="B540" t="str">
        <f>"00020711"</f>
        <v>00020711</v>
      </c>
      <c r="C540" t="s">
        <v>273</v>
      </c>
      <c r="F540">
        <v>176</v>
      </c>
      <c r="G540">
        <v>2026.1506649903999</v>
      </c>
      <c r="H540">
        <v>1898.8847271387999</v>
      </c>
      <c r="I540">
        <v>0</v>
      </c>
      <c r="J540">
        <v>0</v>
      </c>
      <c r="K540">
        <v>0</v>
      </c>
      <c r="L540">
        <v>2</v>
      </c>
      <c r="M540">
        <v>0</v>
      </c>
      <c r="N540">
        <v>683.97699999999998</v>
      </c>
      <c r="O540">
        <v>615.57899999999995</v>
      </c>
      <c r="P540">
        <v>0</v>
      </c>
      <c r="Q540">
        <v>0</v>
      </c>
      <c r="R540">
        <v>733.74315576519996</v>
      </c>
      <c r="S540">
        <v>733.74315576519996</v>
      </c>
      <c r="T540">
        <v>5128.43</v>
      </c>
      <c r="U540">
        <f t="shared" si="29"/>
        <v>8376.6368829040002</v>
      </c>
    </row>
    <row r="541" spans="1:21" x14ac:dyDescent="0.25">
      <c r="A541" t="s">
        <v>29</v>
      </c>
      <c r="B541" t="str">
        <f>"00027031"</f>
        <v>00027031</v>
      </c>
      <c r="C541" t="s">
        <v>274</v>
      </c>
      <c r="F541">
        <v>81</v>
      </c>
      <c r="G541">
        <v>433.52933759604002</v>
      </c>
      <c r="H541">
        <v>397.60809156544002</v>
      </c>
      <c r="I541">
        <v>0</v>
      </c>
      <c r="J541">
        <v>0</v>
      </c>
      <c r="K541">
        <v>0</v>
      </c>
      <c r="L541">
        <v>2</v>
      </c>
      <c r="M541">
        <v>0</v>
      </c>
      <c r="N541">
        <v>333.63400000000001</v>
      </c>
      <c r="O541">
        <v>300.27100000000002</v>
      </c>
      <c r="P541">
        <v>100</v>
      </c>
      <c r="Q541">
        <v>90</v>
      </c>
      <c r="R541">
        <v>304.20372119929999</v>
      </c>
      <c r="S541">
        <v>394.20372119929999</v>
      </c>
      <c r="T541">
        <v>2356.48</v>
      </c>
      <c r="U541">
        <f t="shared" si="29"/>
        <v>3448.5628127647401</v>
      </c>
    </row>
    <row r="542" spans="1:21" x14ac:dyDescent="0.25">
      <c r="A542" t="s">
        <v>29</v>
      </c>
      <c r="B542" t="str">
        <f>"00027014"</f>
        <v>00027014</v>
      </c>
      <c r="C542" t="s">
        <v>275</v>
      </c>
      <c r="F542">
        <v>370</v>
      </c>
      <c r="G542">
        <v>9767.5453649867995</v>
      </c>
      <c r="H542">
        <v>9775.6497673386002</v>
      </c>
      <c r="I542">
        <v>0</v>
      </c>
      <c r="J542">
        <v>0</v>
      </c>
      <c r="K542">
        <v>0</v>
      </c>
      <c r="L542">
        <v>7</v>
      </c>
      <c r="M542">
        <v>0.9</v>
      </c>
      <c r="N542">
        <v>1756.27</v>
      </c>
      <c r="O542">
        <v>1679.88</v>
      </c>
      <c r="P542">
        <v>120</v>
      </c>
      <c r="Q542">
        <v>107.17948698997</v>
      </c>
      <c r="R542">
        <v>556.15622677249996</v>
      </c>
      <c r="S542">
        <v>663.33571376249995</v>
      </c>
      <c r="T542">
        <v>2857.49</v>
      </c>
      <c r="U542">
        <f t="shared" si="29"/>
        <v>14976.355481101102</v>
      </c>
    </row>
    <row r="543" spans="1:21" x14ac:dyDescent="0.25">
      <c r="A543" t="s">
        <v>27</v>
      </c>
      <c r="B543" t="str">
        <f>"25881515"</f>
        <v>25881515</v>
      </c>
      <c r="C543" t="s">
        <v>276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R543">
        <v>0</v>
      </c>
      <c r="S543">
        <v>0</v>
      </c>
      <c r="T543">
        <v>0</v>
      </c>
      <c r="U543">
        <f t="shared" si="29"/>
        <v>0</v>
      </c>
    </row>
    <row r="544" spans="1:21" x14ac:dyDescent="0.25">
      <c r="A544" t="s">
        <v>277</v>
      </c>
      <c r="B544" t="str">
        <f>"00263338"</f>
        <v>00263338</v>
      </c>
      <c r="C544" t="s">
        <v>278</v>
      </c>
      <c r="F544">
        <v>4</v>
      </c>
      <c r="G544">
        <v>23.274020944804999</v>
      </c>
      <c r="H544">
        <v>14.910933199317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R544">
        <v>0</v>
      </c>
      <c r="S544">
        <v>0</v>
      </c>
      <c r="T544">
        <v>0</v>
      </c>
      <c r="U544">
        <f t="shared" si="29"/>
        <v>14.910933199317</v>
      </c>
    </row>
    <row r="545" spans="1:21" x14ac:dyDescent="0.25">
      <c r="A545" t="s">
        <v>27</v>
      </c>
      <c r="B545" t="str">
        <f t="shared" ref="B545:B562" si="30">"49777513"</f>
        <v>49777513</v>
      </c>
      <c r="C545" t="s">
        <v>279</v>
      </c>
      <c r="D545">
        <v>23210</v>
      </c>
      <c r="E545" t="s">
        <v>313</v>
      </c>
      <c r="F545">
        <v>289</v>
      </c>
      <c r="G545">
        <v>3653.7902018937998</v>
      </c>
      <c r="H545">
        <v>2455.8112737987999</v>
      </c>
      <c r="I545">
        <v>0</v>
      </c>
      <c r="J545">
        <v>0</v>
      </c>
      <c r="K545">
        <v>0</v>
      </c>
      <c r="L545">
        <v>19.010000000000002</v>
      </c>
      <c r="M545">
        <v>0</v>
      </c>
      <c r="N545">
        <v>1090.58</v>
      </c>
      <c r="O545">
        <v>981.52200000000005</v>
      </c>
      <c r="P545">
        <v>470</v>
      </c>
      <c r="Q545">
        <v>456.99999952316</v>
      </c>
      <c r="R545">
        <v>774.42265924929995</v>
      </c>
      <c r="S545">
        <v>1231.4226587723999</v>
      </c>
      <c r="T545">
        <v>6890.5</v>
      </c>
      <c r="U545">
        <f t="shared" si="29"/>
        <v>11559.255932571199</v>
      </c>
    </row>
    <row r="546" spans="1:21" x14ac:dyDescent="0.25">
      <c r="A546" t="s">
        <v>27</v>
      </c>
      <c r="B546" t="str">
        <f t="shared" si="30"/>
        <v>49777513</v>
      </c>
      <c r="C546" t="s">
        <v>279</v>
      </c>
      <c r="D546">
        <v>23220</v>
      </c>
      <c r="E546" t="s">
        <v>314</v>
      </c>
      <c r="F546">
        <v>751</v>
      </c>
      <c r="G546">
        <v>8342.3312432292005</v>
      </c>
      <c r="H546">
        <v>6325.8685500535003</v>
      </c>
      <c r="I546">
        <v>0</v>
      </c>
      <c r="J546">
        <v>0</v>
      </c>
      <c r="K546">
        <v>0</v>
      </c>
      <c r="L546">
        <v>19.010000000000002</v>
      </c>
      <c r="M546">
        <v>0</v>
      </c>
      <c r="N546">
        <v>1650.33</v>
      </c>
      <c r="O546">
        <v>1485.3</v>
      </c>
      <c r="P546">
        <v>10</v>
      </c>
      <c r="Q546">
        <v>10</v>
      </c>
      <c r="R546">
        <v>1132.4736943012001</v>
      </c>
      <c r="S546">
        <v>1142.4736943012001</v>
      </c>
      <c r="T546">
        <v>7105.64</v>
      </c>
      <c r="U546">
        <f t="shared" si="29"/>
        <v>16059.282244354701</v>
      </c>
    </row>
    <row r="547" spans="1:21" x14ac:dyDescent="0.25">
      <c r="A547" t="s">
        <v>27</v>
      </c>
      <c r="B547" t="str">
        <f t="shared" si="30"/>
        <v>49777513</v>
      </c>
      <c r="C547" t="s">
        <v>279</v>
      </c>
      <c r="D547">
        <v>23310</v>
      </c>
      <c r="E547" t="s">
        <v>434</v>
      </c>
      <c r="F547">
        <v>8</v>
      </c>
      <c r="G547">
        <v>74.035228927023994</v>
      </c>
      <c r="H547">
        <v>53.666227068171999</v>
      </c>
      <c r="I547">
        <v>0</v>
      </c>
      <c r="J547">
        <v>0</v>
      </c>
      <c r="K547">
        <v>0</v>
      </c>
      <c r="L547">
        <v>19.010000000000002</v>
      </c>
      <c r="M547">
        <v>0</v>
      </c>
      <c r="N547">
        <v>5.7042000000000002</v>
      </c>
      <c r="O547">
        <v>5.1337799999999998</v>
      </c>
      <c r="P547">
        <v>0</v>
      </c>
      <c r="R547">
        <v>0</v>
      </c>
      <c r="S547">
        <v>0</v>
      </c>
      <c r="T547">
        <v>0.749</v>
      </c>
      <c r="U547">
        <f t="shared" si="29"/>
        <v>59.549007068172003</v>
      </c>
    </row>
    <row r="548" spans="1:21" x14ac:dyDescent="0.25">
      <c r="A548" t="s">
        <v>27</v>
      </c>
      <c r="B548" t="str">
        <f t="shared" si="30"/>
        <v>49777513</v>
      </c>
      <c r="C548" t="s">
        <v>279</v>
      </c>
      <c r="D548">
        <v>23320</v>
      </c>
      <c r="E548" t="s">
        <v>551</v>
      </c>
      <c r="F548">
        <v>353</v>
      </c>
      <c r="G548">
        <v>3033.0374712661001</v>
      </c>
      <c r="H548">
        <v>2424.5947212166002</v>
      </c>
      <c r="I548">
        <v>0</v>
      </c>
      <c r="J548">
        <v>0</v>
      </c>
      <c r="K548">
        <v>0</v>
      </c>
      <c r="L548">
        <v>19.010000000000002</v>
      </c>
      <c r="M548">
        <v>1</v>
      </c>
      <c r="N548">
        <v>406.78800000000001</v>
      </c>
      <c r="O548">
        <v>574.13400000000001</v>
      </c>
      <c r="P548">
        <v>0</v>
      </c>
      <c r="R548">
        <v>0</v>
      </c>
      <c r="S548">
        <v>0</v>
      </c>
      <c r="T548">
        <v>8.0576799999999995</v>
      </c>
      <c r="U548">
        <f t="shared" si="29"/>
        <v>3006.7864012166001</v>
      </c>
    </row>
    <row r="549" spans="1:21" x14ac:dyDescent="0.25">
      <c r="A549" t="s">
        <v>27</v>
      </c>
      <c r="B549" t="str">
        <f t="shared" si="30"/>
        <v>49777513</v>
      </c>
      <c r="C549" t="s">
        <v>279</v>
      </c>
      <c r="D549">
        <v>23330</v>
      </c>
      <c r="E549" t="s">
        <v>478</v>
      </c>
      <c r="F549">
        <v>962</v>
      </c>
      <c r="G549">
        <v>12233.766016762</v>
      </c>
      <c r="H549">
        <v>9978.0066806729992</v>
      </c>
      <c r="I549">
        <v>0</v>
      </c>
      <c r="J549">
        <v>0</v>
      </c>
      <c r="K549">
        <v>0</v>
      </c>
      <c r="L549">
        <v>19.010000000000002</v>
      </c>
      <c r="M549">
        <v>1.33</v>
      </c>
      <c r="N549">
        <v>1254.8399999999999</v>
      </c>
      <c r="O549">
        <v>1406.03</v>
      </c>
      <c r="P549">
        <v>0</v>
      </c>
      <c r="Q549">
        <v>0</v>
      </c>
      <c r="R549">
        <v>11.1936888781</v>
      </c>
      <c r="S549">
        <v>11.1936888781</v>
      </c>
      <c r="T549">
        <v>438.40499999999997</v>
      </c>
      <c r="U549">
        <f t="shared" si="29"/>
        <v>11833.635369551101</v>
      </c>
    </row>
    <row r="550" spans="1:21" x14ac:dyDescent="0.25">
      <c r="A550" t="s">
        <v>27</v>
      </c>
      <c r="B550" t="str">
        <f t="shared" si="30"/>
        <v>49777513</v>
      </c>
      <c r="C550" t="s">
        <v>279</v>
      </c>
      <c r="D550">
        <v>23410</v>
      </c>
      <c r="E550" t="s">
        <v>552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19.010000000000002</v>
      </c>
      <c r="M550">
        <v>0</v>
      </c>
      <c r="N550">
        <v>34.070399999999999</v>
      </c>
      <c r="O550">
        <v>30.663399999999999</v>
      </c>
      <c r="P550">
        <v>0</v>
      </c>
      <c r="R550">
        <v>0</v>
      </c>
      <c r="S550">
        <v>0</v>
      </c>
      <c r="T550">
        <v>78.482500000000002</v>
      </c>
      <c r="U550">
        <f t="shared" si="29"/>
        <v>109.1459</v>
      </c>
    </row>
    <row r="551" spans="1:21" x14ac:dyDescent="0.25">
      <c r="A551" t="s">
        <v>27</v>
      </c>
      <c r="B551" t="str">
        <f t="shared" si="30"/>
        <v>49777513</v>
      </c>
      <c r="C551" t="s">
        <v>279</v>
      </c>
      <c r="D551">
        <v>23420</v>
      </c>
      <c r="E551" t="s">
        <v>553</v>
      </c>
      <c r="F551">
        <v>342</v>
      </c>
      <c r="G551">
        <v>3964.7316725213</v>
      </c>
      <c r="H551">
        <v>3136.8886339682999</v>
      </c>
      <c r="I551">
        <v>0</v>
      </c>
      <c r="J551">
        <v>0</v>
      </c>
      <c r="K551">
        <v>0</v>
      </c>
      <c r="L551">
        <v>19.010000000000002</v>
      </c>
      <c r="M551">
        <v>0</v>
      </c>
      <c r="N551">
        <v>233.66900000000001</v>
      </c>
      <c r="O551">
        <v>210.30199999999999</v>
      </c>
      <c r="P551">
        <v>0</v>
      </c>
      <c r="Q551">
        <v>0</v>
      </c>
      <c r="R551">
        <v>70.648347815999998</v>
      </c>
      <c r="S551">
        <v>70.648347815999998</v>
      </c>
      <c r="T551">
        <v>247.13900000000001</v>
      </c>
      <c r="U551">
        <f t="shared" si="29"/>
        <v>3664.9779817843</v>
      </c>
    </row>
    <row r="552" spans="1:21" x14ac:dyDescent="0.25">
      <c r="A552" t="s">
        <v>27</v>
      </c>
      <c r="B552" t="str">
        <f t="shared" si="30"/>
        <v>49777513</v>
      </c>
      <c r="C552" t="s">
        <v>279</v>
      </c>
      <c r="D552">
        <v>23510</v>
      </c>
      <c r="E552" t="s">
        <v>554</v>
      </c>
      <c r="F552">
        <v>258</v>
      </c>
      <c r="G552">
        <v>2818.9764529476001</v>
      </c>
      <c r="H552">
        <v>1905.4129235421001</v>
      </c>
      <c r="I552">
        <v>0</v>
      </c>
      <c r="J552">
        <v>0</v>
      </c>
      <c r="K552">
        <v>0</v>
      </c>
      <c r="L552">
        <v>19.010000000000002</v>
      </c>
      <c r="M552">
        <v>0.25</v>
      </c>
      <c r="N552">
        <v>127.53</v>
      </c>
      <c r="O552">
        <v>166.78299999999999</v>
      </c>
      <c r="P552">
        <v>0</v>
      </c>
      <c r="Q552">
        <v>0</v>
      </c>
      <c r="R552">
        <v>36.164225606099997</v>
      </c>
      <c r="S552">
        <v>36.164225606099997</v>
      </c>
      <c r="T552">
        <v>88.268199999999993</v>
      </c>
      <c r="U552">
        <f t="shared" si="29"/>
        <v>2196.6283491482</v>
      </c>
    </row>
    <row r="553" spans="1:21" x14ac:dyDescent="0.25">
      <c r="A553" t="s">
        <v>27</v>
      </c>
      <c r="B553" t="str">
        <f t="shared" si="30"/>
        <v>49777513</v>
      </c>
      <c r="C553" t="s">
        <v>279</v>
      </c>
      <c r="D553">
        <v>23520</v>
      </c>
      <c r="E553" t="s">
        <v>555</v>
      </c>
      <c r="F553">
        <v>1063</v>
      </c>
      <c r="G553">
        <v>24288.906338854002</v>
      </c>
      <c r="H553">
        <v>20414.969544993</v>
      </c>
      <c r="I553">
        <v>0</v>
      </c>
      <c r="J553">
        <v>0</v>
      </c>
      <c r="K553">
        <v>0</v>
      </c>
      <c r="L553">
        <v>19.010000000000002</v>
      </c>
      <c r="M553">
        <v>1</v>
      </c>
      <c r="N553">
        <v>3460.71</v>
      </c>
      <c r="O553">
        <v>3322.66</v>
      </c>
      <c r="P553">
        <v>120</v>
      </c>
      <c r="Q553">
        <v>96.714286804199006</v>
      </c>
      <c r="R553">
        <v>1177.3114536909</v>
      </c>
      <c r="S553">
        <v>1274.0257404951001</v>
      </c>
      <c r="T553">
        <v>5968.63</v>
      </c>
      <c r="U553">
        <f t="shared" si="29"/>
        <v>30980.285285488102</v>
      </c>
    </row>
    <row r="554" spans="1:21" x14ac:dyDescent="0.25">
      <c r="A554" t="s">
        <v>27</v>
      </c>
      <c r="B554" t="str">
        <f t="shared" si="30"/>
        <v>49777513</v>
      </c>
      <c r="C554" t="s">
        <v>279</v>
      </c>
      <c r="D554">
        <v>23610</v>
      </c>
      <c r="E554" t="s">
        <v>556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19.010000000000002</v>
      </c>
      <c r="M554">
        <v>0</v>
      </c>
      <c r="N554">
        <v>3.9923999999999999</v>
      </c>
      <c r="O554">
        <v>3.5931600000000001</v>
      </c>
      <c r="P554">
        <v>0</v>
      </c>
      <c r="R554">
        <v>0</v>
      </c>
      <c r="S554">
        <v>0</v>
      </c>
      <c r="T554">
        <v>16.439</v>
      </c>
      <c r="U554">
        <f t="shared" si="29"/>
        <v>20.032160000000001</v>
      </c>
    </row>
    <row r="555" spans="1:21" x14ac:dyDescent="0.25">
      <c r="A555" t="s">
        <v>27</v>
      </c>
      <c r="B555" t="str">
        <f t="shared" si="30"/>
        <v>49777513</v>
      </c>
      <c r="C555" t="s">
        <v>279</v>
      </c>
      <c r="D555">
        <v>23620</v>
      </c>
      <c r="E555" t="s">
        <v>414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19.010000000000002</v>
      </c>
      <c r="M555">
        <v>0</v>
      </c>
      <c r="N555">
        <v>0</v>
      </c>
      <c r="O555">
        <v>0</v>
      </c>
      <c r="P555">
        <v>0</v>
      </c>
      <c r="R555">
        <v>0</v>
      </c>
      <c r="S555">
        <v>0</v>
      </c>
      <c r="T555">
        <v>0</v>
      </c>
      <c r="U555">
        <f t="shared" si="29"/>
        <v>0</v>
      </c>
    </row>
    <row r="556" spans="1:21" x14ac:dyDescent="0.25">
      <c r="A556" t="s">
        <v>27</v>
      </c>
      <c r="B556" t="str">
        <f t="shared" si="30"/>
        <v>49777513</v>
      </c>
      <c r="C556" t="s">
        <v>279</v>
      </c>
      <c r="D556">
        <v>23630</v>
      </c>
      <c r="E556" t="s">
        <v>557</v>
      </c>
      <c r="F556">
        <v>1</v>
      </c>
      <c r="G556">
        <v>2.26668</v>
      </c>
      <c r="H556">
        <v>1.6969007535638001</v>
      </c>
      <c r="I556">
        <v>0</v>
      </c>
      <c r="J556">
        <v>0</v>
      </c>
      <c r="K556">
        <v>0</v>
      </c>
      <c r="L556">
        <v>19.010000000000002</v>
      </c>
      <c r="M556">
        <v>0</v>
      </c>
      <c r="N556">
        <v>0</v>
      </c>
      <c r="O556">
        <v>0</v>
      </c>
      <c r="P556">
        <v>0</v>
      </c>
      <c r="R556">
        <v>0</v>
      </c>
      <c r="S556">
        <v>0</v>
      </c>
      <c r="T556">
        <v>0</v>
      </c>
      <c r="U556">
        <f t="shared" si="29"/>
        <v>1.6969007535638001</v>
      </c>
    </row>
    <row r="557" spans="1:21" x14ac:dyDescent="0.25">
      <c r="A557" t="s">
        <v>27</v>
      </c>
      <c r="B557" t="str">
        <f t="shared" si="30"/>
        <v>49777513</v>
      </c>
      <c r="C557" t="s">
        <v>279</v>
      </c>
      <c r="D557">
        <v>23640</v>
      </c>
      <c r="E557" t="s">
        <v>558</v>
      </c>
      <c r="F557">
        <v>426</v>
      </c>
      <c r="G557">
        <v>8292.7144597172992</v>
      </c>
      <c r="H557">
        <v>10284.42402498</v>
      </c>
      <c r="I557">
        <v>0</v>
      </c>
      <c r="J557">
        <v>0</v>
      </c>
      <c r="K557">
        <v>0</v>
      </c>
      <c r="L557">
        <v>19.010000000000002</v>
      </c>
      <c r="M557">
        <v>0</v>
      </c>
      <c r="N557">
        <v>723.06100000000004</v>
      </c>
      <c r="O557">
        <v>650.755</v>
      </c>
      <c r="P557">
        <v>10</v>
      </c>
      <c r="Q557">
        <v>3.3333332538604998</v>
      </c>
      <c r="R557">
        <v>293.78708014210002</v>
      </c>
      <c r="S557">
        <v>297.12041339590002</v>
      </c>
      <c r="T557">
        <v>3227.09</v>
      </c>
      <c r="U557">
        <f t="shared" si="29"/>
        <v>14459.3894383759</v>
      </c>
    </row>
    <row r="558" spans="1:21" x14ac:dyDescent="0.25">
      <c r="A558" t="s">
        <v>27</v>
      </c>
      <c r="B558" t="str">
        <f t="shared" si="30"/>
        <v>49777513</v>
      </c>
      <c r="C558" t="s">
        <v>279</v>
      </c>
      <c r="D558">
        <v>23660</v>
      </c>
      <c r="E558" t="s">
        <v>559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19.010000000000002</v>
      </c>
      <c r="M558">
        <v>0</v>
      </c>
      <c r="N558">
        <v>0</v>
      </c>
      <c r="O558">
        <v>0</v>
      </c>
      <c r="P558">
        <v>0</v>
      </c>
      <c r="R558">
        <v>0</v>
      </c>
      <c r="S558">
        <v>0</v>
      </c>
      <c r="T558">
        <v>0</v>
      </c>
      <c r="U558">
        <f t="shared" si="29"/>
        <v>0</v>
      </c>
    </row>
    <row r="559" spans="1:21" x14ac:dyDescent="0.25">
      <c r="A559" t="s">
        <v>27</v>
      </c>
      <c r="B559" t="str">
        <f t="shared" si="30"/>
        <v>49777513</v>
      </c>
      <c r="C559" t="s">
        <v>279</v>
      </c>
      <c r="D559">
        <v>23670</v>
      </c>
      <c r="E559" t="s">
        <v>560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19.010000000000002</v>
      </c>
      <c r="M559">
        <v>0</v>
      </c>
      <c r="N559">
        <v>0.45179999999999998</v>
      </c>
      <c r="O559">
        <v>0.40661999999999998</v>
      </c>
      <c r="P559">
        <v>0</v>
      </c>
      <c r="R559">
        <v>0</v>
      </c>
      <c r="S559">
        <v>0</v>
      </c>
      <c r="T559">
        <v>0</v>
      </c>
      <c r="U559">
        <f t="shared" si="29"/>
        <v>0.40661999999999998</v>
      </c>
    </row>
    <row r="560" spans="1:21" x14ac:dyDescent="0.25">
      <c r="A560" t="s">
        <v>27</v>
      </c>
      <c r="B560" t="str">
        <f t="shared" si="30"/>
        <v>49777513</v>
      </c>
      <c r="C560" t="s">
        <v>279</v>
      </c>
      <c r="D560">
        <v>23680</v>
      </c>
      <c r="E560" t="s">
        <v>561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19.010000000000002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15.750969340699999</v>
      </c>
      <c r="S560">
        <v>15.750969340699999</v>
      </c>
      <c r="T560">
        <v>0</v>
      </c>
      <c r="U560">
        <f t="shared" si="29"/>
        <v>15.750969340699999</v>
      </c>
    </row>
    <row r="561" spans="1:21" x14ac:dyDescent="0.25">
      <c r="A561" t="s">
        <v>27</v>
      </c>
      <c r="B561" t="str">
        <f t="shared" si="30"/>
        <v>49777513</v>
      </c>
      <c r="C561" t="s">
        <v>279</v>
      </c>
      <c r="D561">
        <v>23690</v>
      </c>
      <c r="E561" t="s">
        <v>562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19.010000000000002</v>
      </c>
      <c r="M561">
        <v>0</v>
      </c>
      <c r="N561">
        <v>0</v>
      </c>
      <c r="O561">
        <v>0</v>
      </c>
      <c r="P561">
        <v>0</v>
      </c>
      <c r="R561">
        <v>0</v>
      </c>
      <c r="S561">
        <v>0</v>
      </c>
      <c r="T561">
        <v>0</v>
      </c>
      <c r="U561">
        <f t="shared" si="29"/>
        <v>0</v>
      </c>
    </row>
    <row r="562" spans="1:21" x14ac:dyDescent="0.25">
      <c r="A562" t="s">
        <v>27</v>
      </c>
      <c r="B562" t="str">
        <f t="shared" si="30"/>
        <v>49777513</v>
      </c>
      <c r="C562" t="s">
        <v>279</v>
      </c>
      <c r="D562">
        <v>23810</v>
      </c>
      <c r="E562" t="s">
        <v>563</v>
      </c>
      <c r="F562">
        <v>1</v>
      </c>
      <c r="G562">
        <v>5</v>
      </c>
      <c r="H562">
        <v>2.812751446</v>
      </c>
      <c r="I562">
        <v>0</v>
      </c>
      <c r="J562">
        <v>0</v>
      </c>
      <c r="K562">
        <v>0</v>
      </c>
      <c r="L562">
        <v>19.010000000000002</v>
      </c>
      <c r="M562">
        <v>0</v>
      </c>
      <c r="N562">
        <v>6.3746999999999998</v>
      </c>
      <c r="O562">
        <v>5.7372300000000003</v>
      </c>
      <c r="P562">
        <v>0</v>
      </c>
      <c r="R562">
        <v>0</v>
      </c>
      <c r="S562">
        <v>0</v>
      </c>
      <c r="T562">
        <v>161.727</v>
      </c>
      <c r="U562">
        <f t="shared" si="29"/>
        <v>170.27698144600001</v>
      </c>
    </row>
    <row r="563" spans="1:21" x14ac:dyDescent="0.25">
      <c r="A563" t="s">
        <v>277</v>
      </c>
      <c r="B563" t="str">
        <f>"00228745"</f>
        <v>00228745</v>
      </c>
      <c r="C563" t="s">
        <v>280</v>
      </c>
      <c r="F563">
        <v>65</v>
      </c>
      <c r="G563">
        <v>444.00654443330001</v>
      </c>
      <c r="H563">
        <v>384.73689540261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36.134099999999997</v>
      </c>
      <c r="O563">
        <v>32.520699999999998</v>
      </c>
      <c r="P563">
        <v>0</v>
      </c>
      <c r="R563">
        <v>0</v>
      </c>
      <c r="S563">
        <v>0</v>
      </c>
      <c r="T563">
        <v>0</v>
      </c>
      <c r="U563">
        <f t="shared" si="29"/>
        <v>417.25759540260998</v>
      </c>
    </row>
    <row r="564" spans="1:21" x14ac:dyDescent="0.25">
      <c r="A564" t="s">
        <v>65</v>
      </c>
      <c r="B564" t="str">
        <f>"71009396"</f>
        <v>71009396</v>
      </c>
      <c r="C564" t="s">
        <v>281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9.1775648024999992</v>
      </c>
      <c r="S564">
        <v>9.1775648024999992</v>
      </c>
      <c r="T564">
        <v>0</v>
      </c>
      <c r="U564">
        <f t="shared" si="29"/>
        <v>9.1775648024999992</v>
      </c>
    </row>
    <row r="565" spans="1:21" x14ac:dyDescent="0.25">
      <c r="A565" t="s">
        <v>65</v>
      </c>
      <c r="B565" t="str">
        <f>"71009361"</f>
        <v>71009361</v>
      </c>
      <c r="C565" t="s">
        <v>282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R565">
        <v>0</v>
      </c>
      <c r="S565">
        <v>0</v>
      </c>
      <c r="T565">
        <v>0</v>
      </c>
      <c r="U565">
        <f t="shared" si="29"/>
        <v>0</v>
      </c>
    </row>
    <row r="566" spans="1:21" x14ac:dyDescent="0.25">
      <c r="A566" t="s">
        <v>29</v>
      </c>
      <c r="B566" t="str">
        <f>"26296080"</f>
        <v>26296080</v>
      </c>
      <c r="C566" t="s">
        <v>283</v>
      </c>
      <c r="F566">
        <v>99</v>
      </c>
      <c r="G566">
        <v>491.18090215319</v>
      </c>
      <c r="H566">
        <v>462.40001055470998</v>
      </c>
      <c r="I566">
        <v>0</v>
      </c>
      <c r="J566">
        <v>0</v>
      </c>
      <c r="K566">
        <v>0</v>
      </c>
      <c r="L566">
        <v>1</v>
      </c>
      <c r="M566">
        <v>0.3</v>
      </c>
      <c r="N566">
        <v>305.01400000000001</v>
      </c>
      <c r="O566">
        <v>314.72699999999998</v>
      </c>
      <c r="P566">
        <v>145</v>
      </c>
      <c r="Q566">
        <v>125.23809432983001</v>
      </c>
      <c r="R566">
        <v>238.02864867599999</v>
      </c>
      <c r="S566">
        <v>363.26674300579998</v>
      </c>
      <c r="T566">
        <v>1578.16</v>
      </c>
      <c r="U566">
        <f t="shared" si="29"/>
        <v>2718.5537535605099</v>
      </c>
    </row>
    <row r="567" spans="1:21" x14ac:dyDescent="0.25">
      <c r="A567" t="s">
        <v>27</v>
      </c>
      <c r="B567" t="str">
        <f>"60459263"</f>
        <v>60459263</v>
      </c>
      <c r="C567" t="s">
        <v>284</v>
      </c>
      <c r="F567">
        <v>46</v>
      </c>
      <c r="G567">
        <v>568.85309212760001</v>
      </c>
      <c r="H567">
        <v>477.56741350354002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9.0663300000000007</v>
      </c>
      <c r="O567">
        <v>8.1597000000000008</v>
      </c>
      <c r="P567">
        <v>0</v>
      </c>
      <c r="R567">
        <v>0</v>
      </c>
      <c r="S567">
        <v>0</v>
      </c>
      <c r="T567">
        <v>0</v>
      </c>
      <c r="U567">
        <f t="shared" si="29"/>
        <v>485.72711350354001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U3:U4"/>
    <mergeCell ref="A3:E3"/>
    <mergeCell ref="F3:H3"/>
    <mergeCell ref="I3:K3"/>
    <mergeCell ref="L3:O3"/>
    <mergeCell ref="P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VO_celkem</vt:lpstr>
      <vt:lpstr>VO_součásti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Hodnoceni 2016 - </dc:title>
  <dc:subject>Data Hodnoceni 2016 - </dc:subject>
  <dc:creator>RVVI</dc:creator>
  <cp:keywords>rvvi</cp:keywords>
  <dc:description>Data Hodnoceni 2016 - </dc:description>
  <cp:lastModifiedBy>admin</cp:lastModifiedBy>
  <dcterms:created xsi:type="dcterms:W3CDTF">2017-12-22T11:18:15Z</dcterms:created>
  <dcterms:modified xsi:type="dcterms:W3CDTF">2017-12-22T12:03:03Z</dcterms:modified>
  <cp:category/>
</cp:coreProperties>
</file>